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defaultThemeVersion="124226"/>
  <mc:AlternateContent xmlns:mc="http://schemas.openxmlformats.org/markup-compatibility/2006">
    <mc:Choice Requires="x15">
      <x15ac:absPath xmlns:x15ac="http://schemas.microsoft.com/office/spreadsheetml/2010/11/ac" url="G:\Meu Drive\COMERCIAL\VIPPIM VIGILÂNCIA\CONTRATOS\1. PUBLICOS\BRIGADA\TRT Novo\REPACTUAÇÃO\2024\"/>
    </mc:Choice>
  </mc:AlternateContent>
  <xr:revisionPtr revIDLastSave="0" documentId="13_ncr:1_{A6717A9F-2882-488C-897F-4478FB8347E2}" xr6:coauthVersionLast="47" xr6:coauthVersionMax="47" xr10:uidLastSave="{00000000-0000-0000-0000-000000000000}"/>
  <bookViews>
    <workbookView xWindow="-120" yWindow="-120" windowWidth="20730" windowHeight="11160" firstSheet="3" activeTab="3" xr2:uid="{00000000-000D-0000-FFFF-FFFF00000000}"/>
  </bookViews>
  <sheets>
    <sheet name="Fatura" sheetId="82" state="hidden" r:id="rId1"/>
    <sheet name="Implantação" sheetId="81" state="hidden" r:id="rId2"/>
    <sheet name="Proposta" sheetId="79" state="hidden" r:id="rId3"/>
    <sheet name="Fatura877,32" sheetId="84" r:id="rId4"/>
    <sheet name="Resumo" sheetId="38" r:id="rId5"/>
    <sheet name="Diferença" sheetId="83" r:id="rId6"/>
    <sheet name="Memória de Cálculo" sheetId="73" state="hidden" r:id="rId7"/>
    <sheet name="Diurno" sheetId="46" r:id="rId8"/>
    <sheet name="Noturno" sheetId="80" r:id="rId9"/>
    <sheet name="Uniformes" sheetId="78" state="hidden" r:id="rId10"/>
    <sheet name="epi's" sheetId="77" state="hidden" r:id="rId11"/>
    <sheet name="Materiais 1ºs socorros" sheetId="74" state="hidden" r:id="rId12"/>
    <sheet name="Materiais e Equipamentos" sheetId="76" state="hidden" r:id="rId13"/>
    <sheet name="Ferramentas" sheetId="75" state="hidden" r:id="rId14"/>
  </sheets>
  <externalReferences>
    <externalReference r:id="rId15"/>
  </externalReferences>
  <definedNames>
    <definedName name="_1Sem_nome" localSheetId="7">#REF!</definedName>
    <definedName name="_1Sem_nome" localSheetId="6">#REF!</definedName>
    <definedName name="_1Sem_nome" localSheetId="8">#REF!</definedName>
    <definedName name="_1Sem_nome">#REF!</definedName>
    <definedName name="_P1" localSheetId="7">#REF!</definedName>
    <definedName name="_P1" localSheetId="6">#REF!</definedName>
    <definedName name="_P1" localSheetId="8">#REF!</definedName>
    <definedName name="_P1">#REF!</definedName>
    <definedName name="_P2" localSheetId="7">#REF!</definedName>
    <definedName name="_P2" localSheetId="6">#REF!</definedName>
    <definedName name="_P2" localSheetId="8">#REF!</definedName>
    <definedName name="_P2">#REF!</definedName>
    <definedName name="_p3" localSheetId="7">#REF!</definedName>
    <definedName name="_p3" localSheetId="6">#REF!</definedName>
    <definedName name="_p3" localSheetId="8">#REF!</definedName>
    <definedName name="_p3">#REF!</definedName>
    <definedName name="_xlnm.Print_Area" localSheetId="7">Diurno!$A$1:$D$147</definedName>
    <definedName name="_xlnm.Print_Area" localSheetId="10">'epi''s'!$A$1:$I$15</definedName>
    <definedName name="_xlnm.Print_Area" localSheetId="0">Fatura!$A$1:$J$27</definedName>
    <definedName name="_xlnm.Print_Area" localSheetId="3">'Fatura877,32'!$A$1:$J$19</definedName>
    <definedName name="_xlnm.Print_Area" localSheetId="1">Implantação!$A$1:$J$27</definedName>
    <definedName name="_xlnm.Print_Area" localSheetId="12">'Materiais e Equipamentos'!$A$1:$F$30</definedName>
    <definedName name="_xlnm.Print_Area" localSheetId="6">'Memória de Cálculo'!$A$1:$AF$111</definedName>
    <definedName name="_xlnm.Print_Area" localSheetId="8">Noturno!$A$1:$D$148</definedName>
    <definedName name="_xlnm.Print_Area" localSheetId="2">Proposta!$A$1:$J$63</definedName>
    <definedName name="_xlnm.Print_Area" localSheetId="4">Resumo!$A$1:$J$19</definedName>
    <definedName name="_xlnm.Print_Area" localSheetId="9">Uniformes!$A$1:$I$12</definedName>
    <definedName name="BuiltIn_Print_Area" localSheetId="7">#REF!</definedName>
    <definedName name="BuiltIn_Print_Area" localSheetId="6">#REF!</definedName>
    <definedName name="BuiltIn_Print_Area" localSheetId="8">#REF!</definedName>
    <definedName name="BuiltIn_Print_Area" localSheetId="2">#REF!</definedName>
    <definedName name="BuiltIn_Print_Area">#REF!</definedName>
    <definedName name="BuiltIn_Print_Area___0" localSheetId="7">#REF!</definedName>
    <definedName name="BuiltIn_Print_Area___0" localSheetId="6">#REF!</definedName>
    <definedName name="BuiltIn_Print_Area___0" localSheetId="8">#REF!</definedName>
    <definedName name="BuiltIn_Print_Area___0">#REF!</definedName>
    <definedName name="CHEFE" localSheetId="7">#REF!</definedName>
    <definedName name="CHEFE" localSheetId="6">#REF!</definedName>
    <definedName name="CHEFE" localSheetId="8">#REF!</definedName>
    <definedName name="CHEFE">#REF!</definedName>
    <definedName name="Excel_BuiltIn_Print_Area_1" localSheetId="6">#REF!</definedName>
    <definedName name="Excel_BuiltIn_Print_Area_1">#REF!</definedName>
    <definedName name="Excel_BuiltIn_Print_Area_2" localSheetId="6">#REF!</definedName>
    <definedName name="Excel_BuiltIn_Print_Area_2">#REF!</definedName>
    <definedName name="luciene" localSheetId="7">#REF!</definedName>
    <definedName name="luciene" localSheetId="6">#REF!</definedName>
    <definedName name="luciene" localSheetId="8">#REF!</definedName>
    <definedName name="luciene">#REF!</definedName>
    <definedName name="Po" localSheetId="7">#REF!</definedName>
    <definedName name="Po" localSheetId="6">#REF!</definedName>
    <definedName name="Po" localSheetId="8">#REF!</definedName>
    <definedName name="Po">#REF!</definedName>
    <definedName name="ssss" localSheetId="7">#REF!</definedName>
    <definedName name="ssss" localSheetId="6">#REF!</definedName>
    <definedName name="ssss" localSheetId="8">#REF!</definedName>
    <definedName name="ssss">#REF!</definedName>
    <definedName name="sssss" localSheetId="7">#REF!</definedName>
    <definedName name="sssss" localSheetId="6">#REF!</definedName>
    <definedName name="sssss" localSheetId="8">#REF!</definedName>
    <definedName name="sssss">#REF!</definedName>
    <definedName name="To" localSheetId="7">#REF!</definedName>
    <definedName name="To" localSheetId="6">#REF!</definedName>
    <definedName name="To" localSheetId="8">#REF!</definedName>
    <definedName name="To">#REF!</definedName>
    <definedName name="vvvv" localSheetId="7">#REF!</definedName>
    <definedName name="vvvv" localSheetId="6">#REF!</definedName>
    <definedName name="vvvv" localSheetId="8">#REF!</definedName>
    <definedName name="vvvv">#REF!</definedName>
  </definedNames>
  <calcPr calcId="191029" iterate="1"/>
</workbook>
</file>

<file path=xl/calcChain.xml><?xml version="1.0" encoding="utf-8"?>
<calcChain xmlns="http://schemas.openxmlformats.org/spreadsheetml/2006/main">
  <c r="I10" i="84" l="1"/>
  <c r="H10" i="84"/>
  <c r="J13" i="84"/>
  <c r="J18" i="84" s="1"/>
  <c r="J11" i="84"/>
  <c r="E11" i="84"/>
  <c r="I9" i="84"/>
  <c r="H9" i="84"/>
  <c r="G9" i="84"/>
  <c r="F8" i="84"/>
  <c r="F7" i="84"/>
  <c r="K5" i="84"/>
  <c r="K4" i="84"/>
  <c r="F4" i="84"/>
  <c r="F11" i="84" s="1"/>
  <c r="D5" i="83"/>
  <c r="D4" i="83"/>
  <c r="D3" i="83"/>
  <c r="D6" i="83" s="1"/>
  <c r="B4" i="83"/>
  <c r="K5" i="38"/>
  <c r="K4" i="38"/>
  <c r="F11" i="38"/>
  <c r="G10" i="38"/>
  <c r="G9" i="38"/>
  <c r="D144" i="46"/>
  <c r="C144" i="46"/>
  <c r="D146" i="80"/>
  <c r="C146" i="80"/>
  <c r="D145" i="80"/>
  <c r="C145" i="80"/>
  <c r="D142" i="80"/>
  <c r="D141" i="80"/>
  <c r="D117" i="80"/>
  <c r="D116" i="80"/>
  <c r="D111" i="80"/>
  <c r="D110" i="80"/>
  <c r="C110" i="80"/>
  <c r="D109" i="80"/>
  <c r="D108" i="80"/>
  <c r="D107" i="80"/>
  <c r="D101" i="80"/>
  <c r="D92" i="80"/>
  <c r="D88" i="80"/>
  <c r="D87" i="80"/>
  <c r="D86" i="80"/>
  <c r="D85" i="80"/>
  <c r="D84" i="80"/>
  <c r="D79" i="80"/>
  <c r="D78" i="80"/>
  <c r="D77" i="80"/>
  <c r="D76" i="80"/>
  <c r="D75" i="80"/>
  <c r="D74" i="80"/>
  <c r="D62" i="80"/>
  <c r="D61" i="80"/>
  <c r="D60" i="80"/>
  <c r="D59" i="80"/>
  <c r="D58" i="80"/>
  <c r="D57" i="80"/>
  <c r="C58" i="80"/>
  <c r="C57" i="80"/>
  <c r="D52" i="80"/>
  <c r="D51" i="80"/>
  <c r="D50" i="80"/>
  <c r="D49" i="80"/>
  <c r="D48" i="80"/>
  <c r="D47" i="80"/>
  <c r="D46" i="80"/>
  <c r="D45" i="80"/>
  <c r="D41" i="80"/>
  <c r="D39" i="80"/>
  <c r="D38" i="80"/>
  <c r="D30" i="80"/>
  <c r="D27" i="80"/>
  <c r="D102" i="80"/>
  <c r="D97" i="80"/>
  <c r="D28" i="80"/>
  <c r="D14" i="80"/>
  <c r="D145" i="46"/>
  <c r="D141" i="46"/>
  <c r="D63" i="46"/>
  <c r="D58" i="46"/>
  <c r="D57" i="46"/>
  <c r="C116" i="46"/>
  <c r="D111" i="46"/>
  <c r="D110" i="46"/>
  <c r="D109" i="46"/>
  <c r="D108" i="46"/>
  <c r="D107" i="46"/>
  <c r="D92" i="46"/>
  <c r="D91" i="46"/>
  <c r="D88" i="46"/>
  <c r="D87" i="46"/>
  <c r="D86" i="46"/>
  <c r="D85" i="46"/>
  <c r="D84" i="46"/>
  <c r="D80" i="46"/>
  <c r="D79" i="46"/>
  <c r="D78" i="46"/>
  <c r="D77" i="46"/>
  <c r="D76" i="46"/>
  <c r="D75" i="46"/>
  <c r="D74" i="46"/>
  <c r="D68" i="46"/>
  <c r="D67" i="46"/>
  <c r="C58" i="46"/>
  <c r="C57" i="46"/>
  <c r="D52" i="46"/>
  <c r="D51" i="46"/>
  <c r="D50" i="46"/>
  <c r="D49" i="46"/>
  <c r="D48" i="46"/>
  <c r="D47" i="46"/>
  <c r="D46" i="46"/>
  <c r="D45" i="46"/>
  <c r="D41" i="46"/>
  <c r="D39" i="46"/>
  <c r="D38" i="46"/>
  <c r="D112" i="46"/>
  <c r="D131" i="46" s="1"/>
  <c r="D102" i="46"/>
  <c r="D97" i="46"/>
  <c r="D28" i="46"/>
  <c r="D33" i="46" s="1"/>
  <c r="D14" i="46"/>
  <c r="J21" i="82"/>
  <c r="J26" i="82" s="1"/>
  <c r="J20" i="82"/>
  <c r="E20" i="82"/>
  <c r="L18" i="82"/>
  <c r="F16" i="82"/>
  <c r="F20" i="82" s="1"/>
  <c r="J12" i="82"/>
  <c r="E12" i="82"/>
  <c r="F9" i="82"/>
  <c r="F8" i="82"/>
  <c r="F12" i="82" s="1"/>
  <c r="F5" i="82"/>
  <c r="E20" i="81"/>
  <c r="J20" i="81"/>
  <c r="F16" i="81"/>
  <c r="F20" i="81" s="1"/>
  <c r="J21" i="81"/>
  <c r="J26" i="81" s="1"/>
  <c r="J12" i="81"/>
  <c r="E12" i="81"/>
  <c r="F9" i="81"/>
  <c r="F8" i="81"/>
  <c r="F5" i="81"/>
  <c r="E11" i="38"/>
  <c r="E116" i="46"/>
  <c r="C62" i="80"/>
  <c r="E143" i="46"/>
  <c r="K23" i="79"/>
  <c r="D112" i="80" l="1"/>
  <c r="D131" i="80" s="1"/>
  <c r="D127" i="46"/>
  <c r="F12" i="81"/>
  <c r="F31" i="76"/>
  <c r="E79" i="73"/>
  <c r="E78" i="73"/>
  <c r="B39" i="80"/>
  <c r="B39" i="46"/>
  <c r="F20" i="76"/>
  <c r="F22" i="76" s="1"/>
  <c r="F14" i="76"/>
  <c r="F13" i="76"/>
  <c r="F31" i="75"/>
  <c r="F4" i="38" l="1"/>
  <c r="C141" i="80" l="1"/>
  <c r="C141" i="46"/>
  <c r="C145" i="46"/>
  <c r="B118" i="80"/>
  <c r="E117" i="80"/>
  <c r="C111" i="80"/>
  <c r="C108" i="80"/>
  <c r="C102" i="80"/>
  <c r="C97" i="80"/>
  <c r="E89" i="80"/>
  <c r="B88" i="80"/>
  <c r="B87" i="80"/>
  <c r="B86" i="80"/>
  <c r="B85" i="80"/>
  <c r="E84" i="80"/>
  <c r="B79" i="80"/>
  <c r="B78" i="80"/>
  <c r="B77" i="80"/>
  <c r="B76" i="80"/>
  <c r="B75" i="80"/>
  <c r="B74" i="80"/>
  <c r="E56" i="80"/>
  <c r="B52" i="80"/>
  <c r="B51" i="80"/>
  <c r="B50" i="80"/>
  <c r="B49" i="80"/>
  <c r="B48" i="80"/>
  <c r="B47" i="80"/>
  <c r="B46" i="80"/>
  <c r="B45" i="80"/>
  <c r="B38" i="80"/>
  <c r="B40" i="80" s="1"/>
  <c r="C27" i="80"/>
  <c r="C14" i="80"/>
  <c r="A1" i="80"/>
  <c r="J11" i="38"/>
  <c r="F8" i="38"/>
  <c r="F7" i="38"/>
  <c r="E22" i="79"/>
  <c r="F15" i="79"/>
  <c r="E89" i="46"/>
  <c r="E56" i="46"/>
  <c r="D63" i="80" l="1"/>
  <c r="D69" i="80" s="1"/>
  <c r="C63" i="80"/>
  <c r="C69" i="80" s="1"/>
  <c r="C142" i="80"/>
  <c r="C143" i="80" s="1"/>
  <c r="F56" i="80"/>
  <c r="C147" i="80"/>
  <c r="D147" i="80"/>
  <c r="C142" i="46"/>
  <c r="D142" i="46"/>
  <c r="E141" i="46"/>
  <c r="C146" i="46"/>
  <c r="C147" i="46" s="1"/>
  <c r="D146" i="46"/>
  <c r="E58" i="80"/>
  <c r="B80" i="80"/>
  <c r="E80" i="80" s="1"/>
  <c r="E79" i="80"/>
  <c r="B53" i="80"/>
  <c r="E92" i="80" s="1"/>
  <c r="C28" i="80"/>
  <c r="C30" i="80" s="1"/>
  <c r="E84" i="46"/>
  <c r="I61" i="73"/>
  <c r="L53" i="73"/>
  <c r="E31" i="73"/>
  <c r="S30" i="73"/>
  <c r="C33" i="80" l="1"/>
  <c r="D33" i="80"/>
  <c r="C148" i="80"/>
  <c r="D143" i="80"/>
  <c r="D148" i="80" s="1"/>
  <c r="C49" i="80"/>
  <c r="D147" i="46"/>
  <c r="G10" i="82"/>
  <c r="G20" i="79"/>
  <c r="H9" i="38"/>
  <c r="I9" i="38" s="1"/>
  <c r="G10" i="81"/>
  <c r="B68" i="80"/>
  <c r="C46" i="80"/>
  <c r="C52" i="80"/>
  <c r="C48" i="80"/>
  <c r="C74" i="80"/>
  <c r="C75" i="80"/>
  <c r="C38" i="80"/>
  <c r="C50" i="80"/>
  <c r="C78" i="80"/>
  <c r="C39" i="80"/>
  <c r="C88" i="80"/>
  <c r="C45" i="80"/>
  <c r="C86" i="80"/>
  <c r="C77" i="80"/>
  <c r="C127" i="80"/>
  <c r="C51" i="80"/>
  <c r="B95" i="80"/>
  <c r="B102" i="80" s="1"/>
  <c r="B103" i="80" s="1"/>
  <c r="C87" i="80"/>
  <c r="C76" i="80"/>
  <c r="C79" i="80"/>
  <c r="C84" i="80"/>
  <c r="C85" i="80"/>
  <c r="C47" i="80"/>
  <c r="F89" i="80"/>
  <c r="G89" i="80" s="1"/>
  <c r="E92" i="73"/>
  <c r="S90" i="73"/>
  <c r="S89" i="73"/>
  <c r="S88" i="73"/>
  <c r="S87" i="73"/>
  <c r="G11" i="81" l="1"/>
  <c r="G11" i="82"/>
  <c r="H10" i="38"/>
  <c r="I10" i="38" s="1"/>
  <c r="G21" i="79"/>
  <c r="H21" i="79" s="1"/>
  <c r="I21" i="79" s="1"/>
  <c r="D127" i="80"/>
  <c r="D91" i="80"/>
  <c r="H10" i="81"/>
  <c r="I10" i="81" s="1"/>
  <c r="G18" i="81"/>
  <c r="H18" i="81" s="1"/>
  <c r="I18" i="81" s="1"/>
  <c r="G18" i="82"/>
  <c r="H18" i="82" s="1"/>
  <c r="I18" i="82" s="1"/>
  <c r="H10" i="82"/>
  <c r="I10" i="82" s="1"/>
  <c r="C40" i="80"/>
  <c r="C91" i="80"/>
  <c r="C80" i="80"/>
  <c r="C53" i="80"/>
  <c r="C68" i="80" s="1"/>
  <c r="C129" i="80"/>
  <c r="B89" i="80"/>
  <c r="B91" i="80" s="1"/>
  <c r="C102" i="46"/>
  <c r="D80" i="80" l="1"/>
  <c r="D129" i="80" s="1"/>
  <c r="D40" i="80"/>
  <c r="D53" i="80"/>
  <c r="D68" i="80" s="1"/>
  <c r="H11" i="81"/>
  <c r="I11" i="81" s="1"/>
  <c r="G19" i="81"/>
  <c r="G19" i="82"/>
  <c r="H19" i="82" s="1"/>
  <c r="I19" i="82" s="1"/>
  <c r="H11" i="82"/>
  <c r="I11" i="82" s="1"/>
  <c r="B101" i="80"/>
  <c r="G61" i="73"/>
  <c r="J24" i="79"/>
  <c r="J29" i="79" s="1"/>
  <c r="J22" i="79"/>
  <c r="F19" i="79"/>
  <c r="F18" i="79"/>
  <c r="F22" i="79" s="1"/>
  <c r="H19" i="81" l="1"/>
  <c r="I19" i="81" s="1"/>
  <c r="E58" i="46"/>
  <c r="D69" i="46"/>
  <c r="C63" i="46"/>
  <c r="F24" i="74"/>
  <c r="F23" i="74"/>
  <c r="F22" i="74"/>
  <c r="F21" i="74"/>
  <c r="F28" i="76"/>
  <c r="F29" i="76" s="1"/>
  <c r="F13" i="74" l="1"/>
  <c r="F12" i="74"/>
  <c r="F11" i="74"/>
  <c r="F20" i="74"/>
  <c r="E76" i="73" l="1"/>
  <c r="E77" i="73" s="1"/>
  <c r="B77" i="46" l="1"/>
  <c r="B74" i="46"/>
  <c r="B76" i="46" l="1"/>
  <c r="E81" i="73"/>
  <c r="B79" i="46" s="1"/>
  <c r="I13" i="77"/>
  <c r="I12" i="77"/>
  <c r="I11" i="77"/>
  <c r="I10" i="77"/>
  <c r="I9" i="77"/>
  <c r="I8" i="77"/>
  <c r="I7" i="77"/>
  <c r="I6" i="77"/>
  <c r="I5" i="77"/>
  <c r="F19" i="74"/>
  <c r="F25" i="74"/>
  <c r="F18" i="74"/>
  <c r="F17" i="74"/>
  <c r="F16" i="74"/>
  <c r="E79" i="46" l="1"/>
  <c r="I14" i="77"/>
  <c r="I15" i="77" s="1"/>
  <c r="C108" i="46" s="1"/>
  <c r="I10" i="78" l="1"/>
  <c r="I9" i="78"/>
  <c r="I8" i="78"/>
  <c r="I7" i="78"/>
  <c r="I6" i="78"/>
  <c r="I5" i="78"/>
  <c r="F13" i="77"/>
  <c r="E13" i="77"/>
  <c r="F9" i="77"/>
  <c r="E9" i="77"/>
  <c r="F12" i="76"/>
  <c r="F11" i="76"/>
  <c r="F10" i="76"/>
  <c r="F9" i="76"/>
  <c r="F8" i="76"/>
  <c r="F7" i="76"/>
  <c r="F6" i="76"/>
  <c r="F5" i="76"/>
  <c r="F29" i="75"/>
  <c r="F28" i="75"/>
  <c r="F27" i="75"/>
  <c r="F26" i="75"/>
  <c r="F25" i="75"/>
  <c r="F24" i="75"/>
  <c r="F23" i="75"/>
  <c r="F22" i="75"/>
  <c r="F21" i="75"/>
  <c r="F20" i="75"/>
  <c r="F19" i="75"/>
  <c r="F18" i="75"/>
  <c r="F17" i="75"/>
  <c r="F16" i="75"/>
  <c r="F15" i="75"/>
  <c r="F14" i="75"/>
  <c r="F13" i="75"/>
  <c r="F12" i="75"/>
  <c r="F11" i="75"/>
  <c r="F10" i="75"/>
  <c r="F9" i="75"/>
  <c r="F8" i="75"/>
  <c r="F7" i="75"/>
  <c r="F6" i="75"/>
  <c r="F5" i="75"/>
  <c r="F4" i="75"/>
  <c r="F32" i="74"/>
  <c r="F31" i="74"/>
  <c r="F15" i="74"/>
  <c r="F14" i="74"/>
  <c r="F10" i="74"/>
  <c r="F9" i="74"/>
  <c r="F8" i="74"/>
  <c r="F7" i="74"/>
  <c r="F6" i="74"/>
  <c r="F5" i="74"/>
  <c r="F4" i="74"/>
  <c r="F26" i="74" l="1"/>
  <c r="F27" i="74" s="1"/>
  <c r="F21" i="76"/>
  <c r="F30" i="75"/>
  <c r="C111" i="46" s="1"/>
  <c r="F33" i="74"/>
  <c r="F34" i="74" s="1"/>
  <c r="I11" i="78"/>
  <c r="I12" i="78" l="1"/>
  <c r="C110" i="46"/>
  <c r="F36" i="74"/>
  <c r="C107" i="46" l="1"/>
  <c r="C107" i="80"/>
  <c r="C109" i="46"/>
  <c r="C109" i="80"/>
  <c r="A1" i="46"/>
  <c r="C112" i="80" l="1"/>
  <c r="C131" i="80" s="1"/>
  <c r="C112" i="46"/>
  <c r="E100" i="73"/>
  <c r="E98" i="73"/>
  <c r="B52" i="46" l="1"/>
  <c r="B51" i="46"/>
  <c r="B50" i="46"/>
  <c r="B49" i="46"/>
  <c r="B48" i="46"/>
  <c r="B47" i="46"/>
  <c r="B46" i="46"/>
  <c r="B45" i="46"/>
  <c r="B38" i="46"/>
  <c r="B40" i="46" s="1"/>
  <c r="B75" i="46"/>
  <c r="E45" i="73"/>
  <c r="B53" i="46" l="1"/>
  <c r="E32" i="73"/>
  <c r="B41" i="46" s="1"/>
  <c r="B42" i="46" s="1"/>
  <c r="E93" i="73"/>
  <c r="B92" i="80" s="1"/>
  <c r="E80" i="73"/>
  <c r="B78" i="46" s="1"/>
  <c r="B88" i="46"/>
  <c r="B87" i="46"/>
  <c r="B86" i="46"/>
  <c r="B85" i="46"/>
  <c r="L61" i="73"/>
  <c r="H51" i="73"/>
  <c r="L51" i="73" s="1"/>
  <c r="H50" i="73"/>
  <c r="L50" i="73" s="1"/>
  <c r="E33" i="73" l="1"/>
  <c r="B41" i="80"/>
  <c r="C92" i="80"/>
  <c r="D93" i="80" s="1"/>
  <c r="D103" i="80" s="1"/>
  <c r="D130" i="80" s="1"/>
  <c r="B93" i="80"/>
  <c r="L52" i="73"/>
  <c r="L54" i="73" s="1"/>
  <c r="B80" i="46"/>
  <c r="E80" i="46" s="1"/>
  <c r="E82" i="73"/>
  <c r="C93" i="80" l="1"/>
  <c r="C101" i="80" s="1"/>
  <c r="C103" i="80" s="1"/>
  <c r="C130" i="80" s="1"/>
  <c r="B42" i="80"/>
  <c r="C41" i="80"/>
  <c r="D42" i="80" s="1"/>
  <c r="D67" i="80" s="1"/>
  <c r="D70" i="80" s="1"/>
  <c r="D128" i="80" s="1"/>
  <c r="D132" i="80" s="1"/>
  <c r="B92" i="46"/>
  <c r="C42" i="80" l="1"/>
  <c r="C67" i="80" s="1"/>
  <c r="C70" i="80" s="1"/>
  <c r="C128" i="80" s="1"/>
  <c r="C132" i="80" s="1"/>
  <c r="C116" i="80" s="1"/>
  <c r="C117" i="80" s="1"/>
  <c r="E42" i="80"/>
  <c r="B67" i="80"/>
  <c r="B70" i="80" s="1"/>
  <c r="E70" i="80" s="1"/>
  <c r="E94" i="80" s="1"/>
  <c r="E94" i="73"/>
  <c r="E92" i="46"/>
  <c r="B68" i="46" l="1"/>
  <c r="E42" i="46"/>
  <c r="B118" i="46" l="1"/>
  <c r="C148" i="46" s="1"/>
  <c r="C149" i="46" s="1"/>
  <c r="C151" i="46" s="1"/>
  <c r="C152" i="46" s="1"/>
  <c r="C27" i="46" l="1"/>
  <c r="C14" i="46"/>
  <c r="F56" i="46" l="1"/>
  <c r="C28" i="46"/>
  <c r="C33" i="46" s="1"/>
  <c r="C92" i="46" l="1"/>
  <c r="C41" i="46"/>
  <c r="B95" i="46"/>
  <c r="B102" i="46" s="1"/>
  <c r="C39" i="46"/>
  <c r="C69" i="46"/>
  <c r="B89" i="46" l="1"/>
  <c r="B91" i="46" s="1"/>
  <c r="F89" i="46"/>
  <c r="G89" i="46" s="1"/>
  <c r="C51" i="46"/>
  <c r="C76" i="46"/>
  <c r="C52" i="46"/>
  <c r="C77" i="46"/>
  <c r="C48" i="46"/>
  <c r="C47" i="46"/>
  <c r="C79" i="46"/>
  <c r="C38" i="46"/>
  <c r="C46" i="46"/>
  <c r="C50" i="46"/>
  <c r="C45" i="46"/>
  <c r="C49" i="46"/>
  <c r="C127" i="46"/>
  <c r="C85" i="46"/>
  <c r="C97" i="46"/>
  <c r="C86" i="46"/>
  <c r="C74" i="46"/>
  <c r="C87" i="46"/>
  <c r="C88" i="46"/>
  <c r="C84" i="46"/>
  <c r="D93" i="46" s="1"/>
  <c r="D101" i="46" s="1"/>
  <c r="D103" i="46" s="1"/>
  <c r="D130" i="46" s="1"/>
  <c r="C75" i="46"/>
  <c r="D40" i="46" l="1"/>
  <c r="D42" i="46" s="1"/>
  <c r="C40" i="46"/>
  <c r="C42" i="46" s="1"/>
  <c r="D53" i="46"/>
  <c r="C53" i="46"/>
  <c r="D129" i="46"/>
  <c r="C80" i="46"/>
  <c r="C91" i="46"/>
  <c r="B101" i="46"/>
  <c r="B93" i="46"/>
  <c r="B67" i="46"/>
  <c r="B70" i="46" s="1"/>
  <c r="C78" i="46"/>
  <c r="C93" i="46" l="1"/>
  <c r="C101" i="46" s="1"/>
  <c r="C103" i="46" s="1"/>
  <c r="D70" i="46"/>
  <c r="D128" i="46" s="1"/>
  <c r="D132" i="46" s="1"/>
  <c r="D116" i="46" s="1"/>
  <c r="D117" i="46" s="1"/>
  <c r="E70" i="46"/>
  <c r="E94" i="46" s="1"/>
  <c r="C129" i="46"/>
  <c r="C67" i="46"/>
  <c r="C68" i="46" l="1"/>
  <c r="C70" i="46" s="1"/>
  <c r="C131" i="46"/>
  <c r="C130" i="46"/>
  <c r="C128" i="46" l="1"/>
  <c r="C132" i="46" s="1"/>
  <c r="B103" i="46"/>
  <c r="C117" i="46" l="1"/>
  <c r="J13" i="38"/>
  <c r="J18" i="38" s="1"/>
  <c r="H20" i="79"/>
  <c r="I20" i="79" s="1"/>
  <c r="L18" i="81" l="1"/>
  <c r="E117" i="46"/>
  <c r="C118" i="46"/>
  <c r="D118" i="46"/>
  <c r="C119" i="46"/>
  <c r="D119" i="46"/>
  <c r="C121" i="46"/>
  <c r="D121" i="46"/>
  <c r="C123" i="46"/>
  <c r="D123" i="46"/>
  <c r="C133" i="46"/>
  <c r="D133" i="46"/>
  <c r="C134" i="46"/>
  <c r="D134" i="46"/>
  <c r="E134" i="46"/>
  <c r="C136" i="46"/>
  <c r="D136" i="46"/>
  <c r="D148" i="46"/>
  <c r="D149" i="46"/>
  <c r="D151" i="46"/>
  <c r="D152" i="46"/>
  <c r="G5" i="82"/>
  <c r="H5" i="82"/>
  <c r="I5" i="82"/>
  <c r="L5" i="82"/>
  <c r="G6" i="82"/>
  <c r="H6" i="82"/>
  <c r="I6" i="82"/>
  <c r="L6" i="82"/>
  <c r="G7" i="82"/>
  <c r="H7" i="82"/>
  <c r="I7" i="82"/>
  <c r="L7" i="82"/>
  <c r="G8" i="82"/>
  <c r="H8" i="82"/>
  <c r="I8" i="82"/>
  <c r="L8" i="82"/>
  <c r="G9" i="82"/>
  <c r="H9" i="82"/>
  <c r="I9" i="82"/>
  <c r="L9" i="82"/>
  <c r="L10" i="82"/>
  <c r="H12" i="82"/>
  <c r="I12" i="82"/>
  <c r="K12" i="82"/>
  <c r="K13" i="82"/>
  <c r="K14" i="82"/>
  <c r="K15" i="82"/>
  <c r="G16" i="82"/>
  <c r="H16" i="82"/>
  <c r="I16" i="82"/>
  <c r="L16" i="82"/>
  <c r="G17" i="82"/>
  <c r="H17" i="82"/>
  <c r="I17" i="82"/>
  <c r="L17" i="82"/>
  <c r="G20" i="82"/>
  <c r="H20" i="82"/>
  <c r="I20" i="82"/>
  <c r="K20" i="82"/>
  <c r="I21" i="82"/>
  <c r="K21" i="82"/>
  <c r="K22" i="82"/>
  <c r="I26" i="82"/>
  <c r="G4" i="84"/>
  <c r="H4" i="84"/>
  <c r="I4" i="84"/>
  <c r="G5" i="84"/>
  <c r="H5" i="84"/>
  <c r="I5" i="84"/>
  <c r="G6" i="84"/>
  <c r="H6" i="84"/>
  <c r="I6" i="84"/>
  <c r="G7" i="84"/>
  <c r="H7" i="84"/>
  <c r="I7" i="84"/>
  <c r="G8" i="84"/>
  <c r="H8" i="84"/>
  <c r="I8" i="84"/>
  <c r="H11" i="84"/>
  <c r="I11" i="84"/>
  <c r="I13" i="84"/>
  <c r="I18" i="84"/>
  <c r="G5" i="81"/>
  <c r="H5" i="81"/>
  <c r="I5" i="81"/>
  <c r="L5" i="81"/>
  <c r="G6" i="81"/>
  <c r="H6" i="81"/>
  <c r="I6" i="81"/>
  <c r="L6" i="81"/>
  <c r="G7" i="81"/>
  <c r="H7" i="81"/>
  <c r="I7" i="81"/>
  <c r="L7" i="81"/>
  <c r="G8" i="81"/>
  <c r="H8" i="81"/>
  <c r="I8" i="81"/>
  <c r="L8" i="81"/>
  <c r="G9" i="81"/>
  <c r="H9" i="81"/>
  <c r="I9" i="81"/>
  <c r="L9" i="81"/>
  <c r="L10" i="81"/>
  <c r="H12" i="81"/>
  <c r="I12" i="81"/>
  <c r="K12" i="81"/>
  <c r="K13" i="81"/>
  <c r="K14" i="81"/>
  <c r="K15" i="81"/>
  <c r="G16" i="81"/>
  <c r="H16" i="81"/>
  <c r="I16" i="81"/>
  <c r="L16" i="81"/>
  <c r="G17" i="81"/>
  <c r="H17" i="81"/>
  <c r="I17" i="81"/>
  <c r="L17" i="81"/>
  <c r="G20" i="81"/>
  <c r="H20" i="81"/>
  <c r="I20" i="81"/>
  <c r="K20" i="81"/>
  <c r="I21" i="81"/>
  <c r="K21" i="81"/>
  <c r="K22" i="81"/>
  <c r="I26" i="81"/>
  <c r="E116" i="80"/>
  <c r="C118" i="80"/>
  <c r="D118" i="80"/>
  <c r="C119" i="80"/>
  <c r="D119" i="80"/>
  <c r="C121" i="80"/>
  <c r="D121" i="80"/>
  <c r="C123" i="80"/>
  <c r="D123" i="80"/>
  <c r="C133" i="80"/>
  <c r="D133" i="80"/>
  <c r="C134" i="80"/>
  <c r="D134" i="80"/>
  <c r="E134" i="80"/>
  <c r="C136" i="80"/>
  <c r="D136" i="80"/>
  <c r="G15" i="79"/>
  <c r="H15" i="79"/>
  <c r="I15" i="79"/>
  <c r="G16" i="79"/>
  <c r="H16" i="79"/>
  <c r="I16" i="79"/>
  <c r="G17" i="79"/>
  <c r="H17" i="79"/>
  <c r="I17" i="79"/>
  <c r="G18" i="79"/>
  <c r="H18" i="79"/>
  <c r="I18" i="79"/>
  <c r="G19" i="79"/>
  <c r="H19" i="79"/>
  <c r="I19" i="79"/>
  <c r="H22" i="79"/>
  <c r="I22" i="79"/>
  <c r="I24" i="79"/>
  <c r="I29" i="79"/>
  <c r="G4" i="38"/>
  <c r="H4" i="38"/>
  <c r="I4" i="38"/>
  <c r="G5" i="38"/>
  <c r="H5" i="38"/>
  <c r="I5" i="38"/>
  <c r="G6" i="38"/>
  <c r="H6" i="38"/>
  <c r="I6" i="38"/>
  <c r="G7" i="38"/>
  <c r="H7" i="38"/>
  <c r="I7" i="38"/>
  <c r="G8" i="38"/>
  <c r="H8" i="38"/>
  <c r="I8" i="38"/>
  <c r="H11" i="38"/>
  <c r="I11" i="38"/>
  <c r="I13" i="38"/>
  <c r="I18" i="38"/>
</calcChain>
</file>

<file path=xl/sharedStrings.xml><?xml version="1.0" encoding="utf-8"?>
<sst xmlns="http://schemas.openxmlformats.org/spreadsheetml/2006/main" count="981" uniqueCount="450">
  <si>
    <t>TOTAL</t>
  </si>
  <si>
    <t>Brasília/DF</t>
  </si>
  <si>
    <t>Tipo de serviço (mesmo serviço com características distintas)</t>
  </si>
  <si>
    <t>MÓDULO 1: COMPOSIÇÃO DA REMUNERAÇÃO</t>
  </si>
  <si>
    <t xml:space="preserve">1 - Composição da Remuneração </t>
  </si>
  <si>
    <t xml:space="preserve">Valor (R$) </t>
  </si>
  <si>
    <t xml:space="preserve">    A - Salário Base</t>
  </si>
  <si>
    <t xml:space="preserve">    B - Adicional periculosidade</t>
  </si>
  <si>
    <t xml:space="preserve">    C - Adicional insalubridade</t>
  </si>
  <si>
    <t xml:space="preserve">    D - Adicional noturno</t>
  </si>
  <si>
    <t xml:space="preserve">    E - Hora noturna adicional</t>
  </si>
  <si>
    <t>TOTAL DA REMUNERAÇÃO</t>
  </si>
  <si>
    <t xml:space="preserve">    C - Assistência médica e familiar </t>
  </si>
  <si>
    <t xml:space="preserve">    A - Uniformes</t>
  </si>
  <si>
    <t>TOTAL DOS INSUMOS DIVERSOS</t>
  </si>
  <si>
    <t xml:space="preserve">    A - INSS</t>
  </si>
  <si>
    <t xml:space="preserve">    A - Aviso prévio indenizado </t>
  </si>
  <si>
    <t xml:space="preserve">    B - Incidência do FGTS sobre aviso prévio indenizado</t>
  </si>
  <si>
    <t>Total de provisão para Rescisão</t>
  </si>
  <si>
    <t xml:space="preserve">    A - Custos Indiretos</t>
  </si>
  <si>
    <t xml:space="preserve">    B - Lucro</t>
  </si>
  <si>
    <t xml:space="preserve">    C - Tributos</t>
  </si>
  <si>
    <t xml:space="preserve">        C.2 - Tributos Estaduais (especificar)</t>
  </si>
  <si>
    <t xml:space="preserve">        C.3 - Tributos Municipais (ISS)</t>
  </si>
  <si>
    <t xml:space="preserve">        C.4 - Outros Tributos (especificar)</t>
  </si>
  <si>
    <t>TOTAL DOS CUSTOS INDIRETOS, TRIBUTOS E LUCRO</t>
  </si>
  <si>
    <t>QUADRO RESUMO DO CUSTO POR EMPREGADO</t>
  </si>
  <si>
    <t>Mão-de-obra vinculada à execução contratual (valor por empregado)</t>
  </si>
  <si>
    <t xml:space="preserve">    A - Módulo 1 - Composição da Remuneração</t>
  </si>
  <si>
    <t>VALOR TOTAL POR EMPREGADO</t>
  </si>
  <si>
    <t>Lucro Real</t>
  </si>
  <si>
    <t xml:space="preserve">    A - Transporte </t>
  </si>
  <si>
    <t>MÓDULO 2: ENCARGOS E BENEFÍCIOS ANUAIS, MENSAIS E DIÁRIOS</t>
  </si>
  <si>
    <t>Submódulo 2.1 - 13º (décimo-terceiro) Salário, Férias e Adicional de Férias</t>
  </si>
  <si>
    <t>Submódulo 2.3 - Benefícios Mensais e Diários</t>
  </si>
  <si>
    <t>QUADRO RESUMO - MÓDULO 2 - Encargos e Benefícios anuais, mensais e diários</t>
  </si>
  <si>
    <t xml:space="preserve">    2.1 - 13º (décimo-terceiro) Salário, Férias e Adicional de Férias</t>
  </si>
  <si>
    <t xml:space="preserve">    2.3 - Benefícios Mensais e diários</t>
  </si>
  <si>
    <t>MÓDULO 3: PROVISÃO PARA RESCISÃO</t>
  </si>
  <si>
    <t>3.1 - Provisão para Rescisão</t>
  </si>
  <si>
    <t>MÓDULO 4:  CUSTO DE REPOSIÇÃO DO PROFISSIONAL AUSENTE</t>
  </si>
  <si>
    <t xml:space="preserve">TOTAL </t>
  </si>
  <si>
    <t>MÓDULO 5:  INSUMOS DIVERSOS</t>
  </si>
  <si>
    <t>5 - Insumos Diversos</t>
  </si>
  <si>
    <t>MÓDULO 6 - CUSTOS INDIRETOS, TRIBUTOS E LUCRO</t>
  </si>
  <si>
    <t>6 - Custos Indiretos, Tributos e Lucro</t>
  </si>
  <si>
    <t xml:space="preserve">    B - Módulo 2 - Encargos e Benefícios Anuais, Mensais e Diários</t>
  </si>
  <si>
    <t xml:space="preserve">    C - Módulo 3 - Provisão para Rescisão</t>
  </si>
  <si>
    <t xml:space="preserve">    D - Módulo 4 - Custo de Reposição do Profissional Ausente</t>
  </si>
  <si>
    <t xml:space="preserve">    E - Módulo 5 - Insumos Diversos</t>
  </si>
  <si>
    <t xml:space="preserve">    F - Módulo 6 - Custos Indiretos, Tributos e Lucro</t>
  </si>
  <si>
    <t>SUBTOTAL (A+B+C+D+E)</t>
  </si>
  <si>
    <t xml:space="preserve">    B - Férias e Adicional de Férias</t>
  </si>
  <si>
    <t xml:space="preserve">    A - 13º (décimo terceiro) salário</t>
  </si>
  <si>
    <t>Submódulo 2.2 - Encargos Previdenciários (GPS) , Fundo de Garantia por Tempo de Serviço (FGTS) e Outras Contribuições</t>
  </si>
  <si>
    <t xml:space="preserve">    B - Salário Educação</t>
  </si>
  <si>
    <t xml:space="preserve">    D - SESC ou SESI</t>
  </si>
  <si>
    <t xml:space="preserve">    E - SENAI ou SENAC</t>
  </si>
  <si>
    <t xml:space="preserve">    F - SEBRAE</t>
  </si>
  <si>
    <t xml:space="preserve">    G - INCRA</t>
  </si>
  <si>
    <t xml:space="preserve">    H - FGTS</t>
  </si>
  <si>
    <t>SUBTOTAL</t>
  </si>
  <si>
    <t>VALOR TOTAL DO POSTO</t>
  </si>
  <si>
    <t xml:space="preserve">    C - Seguro Acidente do Trabalho/SAT/INSS (3 X 0,50)</t>
  </si>
  <si>
    <t>Módulo 2 - Encargos e Benefícios anuais, mensais e diários</t>
  </si>
  <si>
    <t xml:space="preserve">    D - Assistência Odontológica</t>
  </si>
  <si>
    <t>Valor mensal do serviço</t>
  </si>
  <si>
    <t>Número de meses do contrato</t>
  </si>
  <si>
    <t>Nº do processo:</t>
  </si>
  <si>
    <t>Licitação nº:</t>
  </si>
  <si>
    <t>DISCRIMINAÇÃO DOS SERVIÇOS (DADOS REFERENTES À CONTRATAÇÃO)</t>
  </si>
  <si>
    <t>Data de apresentação da proposta (dia/mês/ano)</t>
  </si>
  <si>
    <t>Município/UF</t>
  </si>
  <si>
    <t>Ano do Acordo, Convenção ou Dissídio coletivo</t>
  </si>
  <si>
    <t>Número de meses de execução contratual</t>
  </si>
  <si>
    <t>12</t>
  </si>
  <si>
    <t>IDENTIFICAÇÃO DO SERVIÇO</t>
  </si>
  <si>
    <t>Unidade
 de 
Medida</t>
  </si>
  <si>
    <t xml:space="preserve">Quantidade total a contratar (Em função da unidade de medida) </t>
  </si>
  <si>
    <t>posto</t>
  </si>
  <si>
    <t>TOTAL DE POSTOS</t>
  </si>
  <si>
    <t xml:space="preserve">Tipo de serviço:                                                                               </t>
  </si>
  <si>
    <t>1 - MÓDULOS</t>
  </si>
  <si>
    <t>MÃO DE OBRA VINCULADA A EXECUÇÃO CONTRATUAL</t>
  </si>
  <si>
    <t>Classificação Brasileira de Ocupações (CBO)</t>
  </si>
  <si>
    <t>Salário Normativo da Categoria</t>
  </si>
  <si>
    <t>Categoria Profissional (vinculada a execução contratual)</t>
  </si>
  <si>
    <t>Data-Base da Categoria (dia/mês/ano)</t>
  </si>
  <si>
    <r>
      <t xml:space="preserve">PLANILHA DE CUSTOS E FORMAÇÃO DE PREÇOS </t>
    </r>
    <r>
      <rPr>
        <b/>
        <sz val="10"/>
        <color indexed="20"/>
        <rFont val="Verdana"/>
        <family val="2"/>
      </rPr>
      <t xml:space="preserve"> </t>
    </r>
  </si>
  <si>
    <t xml:space="preserve">        C.1 - Tributos Federais </t>
  </si>
  <si>
    <t xml:space="preserve">    E - Seguro de vida</t>
  </si>
  <si>
    <t>ITEM</t>
  </si>
  <si>
    <t>VALOR UNITÁRIO DO POSTO</t>
  </si>
  <si>
    <t>VALOR MENSAL DOS SERVIÇOS</t>
  </si>
  <si>
    <t xml:space="preserve">    2.2 - GPS, FGTS e outras contribuições</t>
  </si>
  <si>
    <t xml:space="preserve">    C - Multa do FGTS sobre aviso prévio indenizado</t>
  </si>
  <si>
    <t xml:space="preserve">    D - Aviso Prévio Trabalhado</t>
  </si>
  <si>
    <t xml:space="preserve">    B - Auxílio-Refeição/Alimentação</t>
  </si>
  <si>
    <t>2.1 - 13º Salário</t>
  </si>
  <si>
    <t>Valor Anual do Serviço</t>
  </si>
  <si>
    <t>Fator K</t>
  </si>
  <si>
    <t>Nota 1: Esta tabela poderá ser adaptada às características do serviço contratado, inclusive no que concerne às rubricas e suas respectivas provisões e/ou estimativas, desde que haja justificativa.</t>
  </si>
  <si>
    <t>Nota 2: As provisões constantes desta planilha poderão ser desnecessárias quando se tratar de determinados serviços que prescindam da dedicação exclusiva dos trabalhadores da contratada para com a Administração.</t>
  </si>
  <si>
    <t xml:space="preserve">    F - Outros (especificar)</t>
  </si>
  <si>
    <t xml:space="preserve">    E - Incidência de GPS, FGTS e outras contribuições sobre o Aviso Prévio Trabalhado</t>
  </si>
  <si>
    <t xml:space="preserve">    F - Multa do FGTS e contribuição social sobre o Aviso Prévio Trabalhado</t>
  </si>
  <si>
    <t>Submodulo 4.2 - Substituto na Intrajornada</t>
  </si>
  <si>
    <t>Submodulo 4.1 - Substituto nas Ausências Legais</t>
  </si>
  <si>
    <t xml:space="preserve">    B – Substituto na cobertura de Ausências Legais</t>
  </si>
  <si>
    <t xml:space="preserve">    C - Substituto na cobertura de Licença-Paternidade</t>
  </si>
  <si>
    <r>
      <t xml:space="preserve">    </t>
    </r>
    <r>
      <rPr>
        <sz val="10"/>
        <color indexed="8"/>
        <rFont val="Verdana"/>
        <family val="2"/>
      </rPr>
      <t>D - Substituto na cobertura de Ausência por acidente de trabalho</t>
    </r>
  </si>
  <si>
    <t xml:space="preserve">    E - Substituto na cobertura de Afastamento Maternidade</t>
  </si>
  <si>
    <t>QUADRO RESUMO - MÓDULO 4 - Custo de Reposição do Profissional Ausente</t>
  </si>
  <si>
    <t>Módulo 4 - Custo de Reposição do Profissional Ausente</t>
  </si>
  <si>
    <t xml:space="preserve">    4.1 - Substituto nas Ausências Legais</t>
  </si>
  <si>
    <t>Brigada</t>
  </si>
  <si>
    <t>5171-10</t>
  </si>
  <si>
    <t>Bombeiro civil</t>
  </si>
  <si>
    <t xml:space="preserve">         B1 - Desconto PAT</t>
  </si>
  <si>
    <t xml:space="preserve">ITEM </t>
  </si>
  <si>
    <t>Posto de Brigadista diurno 12x36hs</t>
  </si>
  <si>
    <t>TOTAL DO ITEM 1:</t>
  </si>
  <si>
    <t>DESCRIÇÃO</t>
  </si>
  <si>
    <t>Total de Brigadistas</t>
  </si>
  <si>
    <t>MEMÓRIA DE CÁLCULO PARA O PREENCHIMENTO DA PLANILHA DE CUSTOS E FORMAÇÃO DE PREÇOS</t>
  </si>
  <si>
    <t>MÓDULO 1 - Composição da REMUNERAÇÃO</t>
  </si>
  <si>
    <r>
      <rPr>
        <u/>
        <sz val="9.5"/>
        <rFont val="Calibri"/>
        <family val="2"/>
        <scheme val="minor"/>
      </rPr>
      <t>Fundamenta</t>
    </r>
    <r>
      <rPr>
        <sz val="9.5"/>
        <rFont val="Calibri"/>
        <family val="2"/>
        <scheme val="minor"/>
      </rPr>
      <t>ç</t>
    </r>
    <r>
      <rPr>
        <u/>
        <sz val="9.5"/>
        <rFont val="Calibri"/>
        <family val="2"/>
        <scheme val="minor"/>
      </rPr>
      <t xml:space="preserve">ão Jurídica:
</t>
    </r>
    <r>
      <rPr>
        <u/>
        <sz val="9.5"/>
        <color rgb="FF0000ED"/>
        <rFont val="Calibri"/>
        <family val="2"/>
        <scheme val="minor"/>
      </rPr>
      <t>CLT</t>
    </r>
    <r>
      <rPr>
        <sz val="9.5"/>
        <color rgb="FF0000ED"/>
        <rFont val="Calibri"/>
        <family val="2"/>
        <scheme val="minor"/>
      </rPr>
      <t xml:space="preserve"> </t>
    </r>
    <r>
      <rPr>
        <sz val="9.5"/>
        <rFont val="Calibri"/>
        <family val="2"/>
        <scheme val="minor"/>
      </rPr>
      <t xml:space="preserve">(Decreto-Lei 5.452/43): art. 193 e §§; </t>
    </r>
    <r>
      <rPr>
        <u/>
        <sz val="9.5"/>
        <color rgb="FF0000ED"/>
        <rFont val="Calibri"/>
        <family val="2"/>
        <scheme val="minor"/>
      </rPr>
      <t>CF/88</t>
    </r>
    <r>
      <rPr>
        <sz val="9.5"/>
        <rFont val="Calibri"/>
        <family val="2"/>
        <scheme val="minor"/>
      </rPr>
      <t>: art. 7º, XXIII</t>
    </r>
  </si>
  <si>
    <r>
      <t xml:space="preserve">C) Adicional de Insalubridade: </t>
    </r>
    <r>
      <rPr>
        <b/>
        <sz val="10"/>
        <color rgb="FF000000"/>
        <rFont val="Calibri"/>
        <family val="2"/>
        <scheme val="minor"/>
      </rPr>
      <t>Não contempla</t>
    </r>
  </si>
  <si>
    <r>
      <rPr>
        <u/>
        <sz val="9.5"/>
        <rFont val="Calibri"/>
        <family val="2"/>
        <scheme val="minor"/>
      </rPr>
      <t>Metodolo</t>
    </r>
    <r>
      <rPr>
        <sz val="9.5"/>
        <rFont val="Calibri"/>
        <family val="2"/>
        <scheme val="minor"/>
      </rPr>
      <t>g</t>
    </r>
    <r>
      <rPr>
        <u/>
        <sz val="9.5"/>
        <rFont val="Calibri"/>
        <family val="2"/>
        <scheme val="minor"/>
      </rPr>
      <t>ia de Cálculo</t>
    </r>
    <r>
      <rPr>
        <sz val="9.5"/>
        <rFont val="Calibri"/>
        <family val="2"/>
        <scheme val="minor"/>
      </rPr>
      <t xml:space="preserve">:
</t>
    </r>
    <r>
      <rPr>
        <b/>
        <sz val="9.5"/>
        <rFont val="Calibri"/>
        <family val="2"/>
        <scheme val="minor"/>
      </rPr>
      <t>Salário  Mínimo  ou  Salário  Normativo  *  Adicional  de  Insalubridade  (10%,  20%, 40%)</t>
    </r>
  </si>
  <si>
    <r>
      <rPr>
        <u/>
        <sz val="9.5"/>
        <rFont val="Calibri"/>
        <family val="2"/>
        <scheme val="minor"/>
      </rPr>
      <t>Fundamenta</t>
    </r>
    <r>
      <rPr>
        <sz val="9.5"/>
        <rFont val="Calibri"/>
        <family val="2"/>
        <scheme val="minor"/>
      </rPr>
      <t>ç</t>
    </r>
    <r>
      <rPr>
        <u/>
        <sz val="9.5"/>
        <rFont val="Calibri"/>
        <family val="2"/>
        <scheme val="minor"/>
      </rPr>
      <t xml:space="preserve">ão Jurídica:
</t>
    </r>
    <r>
      <rPr>
        <u/>
        <sz val="9.5"/>
        <color rgb="FF0000ED"/>
        <rFont val="Calibri"/>
        <family val="2"/>
        <scheme val="minor"/>
      </rPr>
      <t>CLT</t>
    </r>
    <r>
      <rPr>
        <sz val="9.5"/>
        <color rgb="FF0000ED"/>
        <rFont val="Calibri"/>
        <family val="2"/>
        <scheme val="minor"/>
      </rPr>
      <t xml:space="preserve"> </t>
    </r>
    <r>
      <rPr>
        <sz val="9.5"/>
        <rFont val="Calibri"/>
        <family val="2"/>
        <scheme val="minor"/>
      </rPr>
      <t xml:space="preserve">(Decreto-Lei 5.452/43): art. 189 e §§; </t>
    </r>
    <r>
      <rPr>
        <u/>
        <sz val="9.5"/>
        <color rgb="FF0000ED"/>
        <rFont val="Calibri"/>
        <family val="2"/>
        <scheme val="minor"/>
      </rPr>
      <t>CF/88</t>
    </r>
    <r>
      <rPr>
        <sz val="9.5"/>
        <rFont val="Calibri"/>
        <family val="2"/>
        <scheme val="minor"/>
      </rPr>
      <t xml:space="preserve">: art. 7º, XXIII
</t>
    </r>
    <r>
      <rPr>
        <b/>
        <sz val="9.5"/>
        <rFont val="Calibri"/>
        <family val="2"/>
        <scheme val="minor"/>
      </rPr>
      <t>D) Adicional Noturno – 20% do salário base:</t>
    </r>
  </si>
  <si>
    <r>
      <rPr>
        <u/>
        <sz val="9.5"/>
        <rFont val="Calibri"/>
        <family val="2"/>
        <scheme val="minor"/>
      </rPr>
      <t>Fundamenta</t>
    </r>
    <r>
      <rPr>
        <sz val="9.5"/>
        <rFont val="Calibri"/>
        <family val="2"/>
        <scheme val="minor"/>
      </rPr>
      <t>ç</t>
    </r>
    <r>
      <rPr>
        <u/>
        <sz val="9.5"/>
        <rFont val="Calibri"/>
        <family val="2"/>
        <scheme val="minor"/>
      </rPr>
      <t xml:space="preserve">ão Jurídica:
</t>
    </r>
    <r>
      <rPr>
        <u/>
        <sz val="9.5"/>
        <color rgb="FF0000ED"/>
        <rFont val="Calibri"/>
        <family val="2"/>
        <scheme val="minor"/>
      </rPr>
      <t>CLT</t>
    </r>
    <r>
      <rPr>
        <sz val="9.5"/>
        <color rgb="FF0000ED"/>
        <rFont val="Calibri"/>
        <family val="2"/>
        <scheme val="minor"/>
      </rPr>
      <t xml:space="preserve"> </t>
    </r>
    <r>
      <rPr>
        <sz val="9.5"/>
        <rFont val="Calibri"/>
        <family val="2"/>
        <scheme val="minor"/>
      </rPr>
      <t xml:space="preserve">(Decreto-Lei 5.452/43): art. 73 e §§; </t>
    </r>
    <r>
      <rPr>
        <u/>
        <sz val="9.5"/>
        <color rgb="FF0000ED"/>
        <rFont val="Calibri"/>
        <family val="2"/>
        <scheme val="minor"/>
      </rPr>
      <t>CF/88</t>
    </r>
    <r>
      <rPr>
        <sz val="9.5"/>
        <rFont val="Calibri"/>
        <family val="2"/>
        <scheme val="minor"/>
      </rPr>
      <t xml:space="preserve">: art. 7º, IX
</t>
    </r>
  </si>
  <si>
    <r>
      <rPr>
        <u/>
        <sz val="9.5"/>
        <rFont val="Calibri"/>
        <family val="2"/>
        <scheme val="minor"/>
      </rPr>
      <t>Fundamenta</t>
    </r>
    <r>
      <rPr>
        <sz val="9.5"/>
        <rFont val="Calibri"/>
        <family val="2"/>
        <scheme val="minor"/>
      </rPr>
      <t>ç</t>
    </r>
    <r>
      <rPr>
        <u/>
        <sz val="9.5"/>
        <rFont val="Calibri"/>
        <family val="2"/>
        <scheme val="minor"/>
      </rPr>
      <t>ão Jurídica:</t>
    </r>
  </si>
  <si>
    <r>
      <rPr>
        <u/>
        <sz val="9.5"/>
        <color rgb="FF0000ED"/>
        <rFont val="Calibri"/>
        <family val="2"/>
        <scheme val="minor"/>
      </rPr>
      <t>CLT</t>
    </r>
    <r>
      <rPr>
        <sz val="9.5"/>
        <color rgb="FF0000ED"/>
        <rFont val="Calibri"/>
        <family val="2"/>
        <scheme val="minor"/>
      </rPr>
      <t xml:space="preserve"> </t>
    </r>
    <r>
      <rPr>
        <sz val="9.5"/>
        <rFont val="Calibri"/>
        <family val="2"/>
        <scheme val="minor"/>
      </rPr>
      <t xml:space="preserve">(Decreto-Lei 5.452/43): art. 73 e §§; </t>
    </r>
    <r>
      <rPr>
        <u/>
        <sz val="9.5"/>
        <color rgb="FF0000ED"/>
        <rFont val="Calibri"/>
        <family val="2"/>
        <scheme val="minor"/>
      </rPr>
      <t>CF/88</t>
    </r>
    <r>
      <rPr>
        <sz val="9.5"/>
        <rFont val="Calibri"/>
        <family val="2"/>
        <scheme val="minor"/>
      </rPr>
      <t>: art. 7º, IX</t>
    </r>
  </si>
  <si>
    <t>F) Adicional de hora Extra no Feriado Trabalhado:</t>
  </si>
  <si>
    <r>
      <rPr>
        <u/>
        <sz val="9.5"/>
        <rFont val="Calibri"/>
        <family val="2"/>
        <scheme val="minor"/>
      </rPr>
      <t>Metodolo</t>
    </r>
    <r>
      <rPr>
        <sz val="9.5"/>
        <rFont val="Calibri"/>
        <family val="2"/>
        <scheme val="minor"/>
      </rPr>
      <t>g</t>
    </r>
    <r>
      <rPr>
        <u/>
        <sz val="9.5"/>
        <rFont val="Calibri"/>
        <family val="2"/>
        <scheme val="minor"/>
      </rPr>
      <t>ia de Cálculo</t>
    </r>
    <r>
      <rPr>
        <sz val="9.5"/>
        <rFont val="Calibri"/>
        <family val="2"/>
        <scheme val="minor"/>
      </rPr>
      <t xml:space="preserve">:
</t>
    </r>
    <r>
      <rPr>
        <b/>
        <sz val="9.5"/>
        <rFont val="Calibri"/>
        <family val="2"/>
        <scheme val="minor"/>
      </rPr>
      <t>((Salário   Base   +   Adicional   de   Periculosidade   +   Adicional   de   Insalubridade   + Adicional Noturno + Adicional de Hora Noturna Reduzida) / Jornada Mensal) * (1 + Porcentagem da Hora Extra) * (Nº de Horas Extras) * (Dias trabalhados)</t>
    </r>
  </si>
  <si>
    <r>
      <rPr>
        <u/>
        <sz val="9.5"/>
        <rFont val="Calibri"/>
        <family val="2"/>
        <scheme val="minor"/>
      </rPr>
      <t>Fundamenta</t>
    </r>
    <r>
      <rPr>
        <sz val="9.5"/>
        <rFont val="Calibri"/>
        <family val="2"/>
        <scheme val="minor"/>
      </rPr>
      <t>ç</t>
    </r>
    <r>
      <rPr>
        <u/>
        <sz val="9.5"/>
        <rFont val="Calibri"/>
        <family val="2"/>
        <scheme val="minor"/>
      </rPr>
      <t xml:space="preserve">ão Jurídica:
</t>
    </r>
    <r>
      <rPr>
        <u/>
        <sz val="9.5"/>
        <color rgb="FF0000ED"/>
        <rFont val="Calibri"/>
        <family val="2"/>
        <scheme val="minor"/>
      </rPr>
      <t>CLT</t>
    </r>
    <r>
      <rPr>
        <sz val="9.5"/>
        <color rgb="FF0000ED"/>
        <rFont val="Calibri"/>
        <family val="2"/>
        <scheme val="minor"/>
      </rPr>
      <t xml:space="preserve"> </t>
    </r>
    <r>
      <rPr>
        <sz val="9.5"/>
        <rFont val="Calibri"/>
        <family val="2"/>
        <scheme val="minor"/>
      </rPr>
      <t xml:space="preserve">(Decreto-Lei 5.452/43): art. 59, §1º; </t>
    </r>
    <r>
      <rPr>
        <u/>
        <sz val="9.5"/>
        <color rgb="FF0000ED"/>
        <rFont val="Calibri"/>
        <family val="2"/>
        <scheme val="minor"/>
      </rPr>
      <t>CF/88</t>
    </r>
    <r>
      <rPr>
        <sz val="9.5"/>
        <rFont val="Calibri"/>
        <family val="2"/>
        <scheme val="minor"/>
      </rPr>
      <t xml:space="preserve">: art. 7º, XVI
OBS: Somente deverá ser preenchido se houver expressa previsão no edital de licitação para jornada extraordinária. Por se tratar de custo variável somente integrará o valor mensal quando de sua ocorrência.
</t>
    </r>
    <r>
      <rPr>
        <b/>
        <sz val="9.5"/>
        <rFont val="Calibri"/>
        <family val="2"/>
        <scheme val="minor"/>
      </rPr>
      <t>G) Trabalho Feriado (Súmula 444 do TST):</t>
    </r>
  </si>
  <si>
    <r>
      <rPr>
        <u/>
        <sz val="9.5"/>
        <rFont val="Calibri"/>
        <family val="2"/>
        <scheme val="minor"/>
      </rPr>
      <t>Metodolo</t>
    </r>
    <r>
      <rPr>
        <sz val="9.5"/>
        <rFont val="Calibri"/>
        <family val="2"/>
        <scheme val="minor"/>
      </rPr>
      <t>g</t>
    </r>
    <r>
      <rPr>
        <u/>
        <sz val="9.5"/>
        <rFont val="Calibri"/>
        <family val="2"/>
        <scheme val="minor"/>
      </rPr>
      <t>ia de Cálculo</t>
    </r>
    <r>
      <rPr>
        <sz val="9.5"/>
        <rFont val="Calibri"/>
        <family val="2"/>
        <scheme val="minor"/>
      </rPr>
      <t xml:space="preserve">:
</t>
    </r>
    <r>
      <rPr>
        <b/>
        <sz val="9.5"/>
        <rFont val="Calibri"/>
        <family val="2"/>
        <scheme val="minor"/>
      </rPr>
      <t>((Salário   Base   +   Adicional   de   Periculosidade   +   Adicional   de   Insalubridade   + Adicional Noturno + Adicional de Hora Noturna Reduzida) / Jornada Mensal) * (Nº de Horas Trabalhadas no Feriado) * ((Número de feriados no Ano)/12/(Número de Trabalhadores no Posto)).</t>
    </r>
  </si>
  <si>
    <r>
      <rPr>
        <u/>
        <sz val="9.5"/>
        <rFont val="Calibri"/>
        <family val="2"/>
        <scheme val="minor"/>
      </rPr>
      <t>Fundamenta</t>
    </r>
    <r>
      <rPr>
        <sz val="9.5"/>
        <rFont val="Calibri"/>
        <family val="2"/>
        <scheme val="minor"/>
      </rPr>
      <t>ç</t>
    </r>
    <r>
      <rPr>
        <u/>
        <sz val="9.5"/>
        <rFont val="Calibri"/>
        <family val="2"/>
        <scheme val="minor"/>
      </rPr>
      <t xml:space="preserve">ão Jurídica:
</t>
    </r>
    <r>
      <rPr>
        <u/>
        <sz val="9.5"/>
        <color rgb="FF0000ED"/>
        <rFont val="Calibri"/>
        <family val="2"/>
        <scheme val="minor"/>
      </rPr>
      <t>CLT</t>
    </r>
    <r>
      <rPr>
        <sz val="9.5"/>
        <color rgb="FF0000ED"/>
        <rFont val="Calibri"/>
        <family val="2"/>
        <scheme val="minor"/>
      </rPr>
      <t xml:space="preserve"> </t>
    </r>
    <r>
      <rPr>
        <sz val="9.5"/>
        <rFont val="Calibri"/>
        <family val="2"/>
        <scheme val="minor"/>
      </rPr>
      <t xml:space="preserve">(Decreto-Lei 5.452/43): Art. 71, § 4º; Súmula nº </t>
    </r>
    <r>
      <rPr>
        <u/>
        <sz val="9.5"/>
        <color rgb="FF0000ED"/>
        <rFont val="Calibri"/>
        <family val="2"/>
        <scheme val="minor"/>
      </rPr>
      <t>444</t>
    </r>
    <r>
      <rPr>
        <sz val="9.5"/>
        <rFont val="Calibri"/>
        <family val="2"/>
        <scheme val="minor"/>
      </rPr>
      <t xml:space="preserve">, TST
</t>
    </r>
    <r>
      <rPr>
        <b/>
        <sz val="9.5"/>
        <rFont val="Calibri"/>
        <family val="2"/>
        <scheme val="minor"/>
      </rPr>
      <t>H) Repouso Semanal Remunerado</t>
    </r>
  </si>
  <si>
    <r>
      <rPr>
        <u/>
        <sz val="9.5"/>
        <rFont val="Calibri"/>
        <family val="2"/>
        <scheme val="minor"/>
      </rPr>
      <t>Metodolo</t>
    </r>
    <r>
      <rPr>
        <sz val="9.5"/>
        <rFont val="Calibri"/>
        <family val="2"/>
        <scheme val="minor"/>
      </rPr>
      <t>g</t>
    </r>
    <r>
      <rPr>
        <u/>
        <sz val="9.5"/>
        <rFont val="Calibri"/>
        <family val="2"/>
        <scheme val="minor"/>
      </rPr>
      <t>ia de Cálculo</t>
    </r>
    <r>
      <rPr>
        <sz val="9.5"/>
        <rFont val="Calibri"/>
        <family val="2"/>
        <scheme val="minor"/>
      </rPr>
      <t xml:space="preserve">:
</t>
    </r>
    <r>
      <rPr>
        <b/>
        <sz val="9.5"/>
        <rFont val="Calibri"/>
        <family val="2"/>
        <scheme val="minor"/>
      </rPr>
      <t>((Adicional Noturno + Adicional de Hora Noturna Reduzida + Trabalho Feriado) * (Número de Dias Não Úteis no Mês /Número de Dias Úteis no Mês)).</t>
    </r>
  </si>
  <si>
    <r>
      <rPr>
        <u/>
        <sz val="9.5"/>
        <rFont val="Calibri"/>
        <family val="2"/>
        <scheme val="minor"/>
      </rPr>
      <t>Fundamenta</t>
    </r>
    <r>
      <rPr>
        <sz val="9.5"/>
        <rFont val="Calibri"/>
        <family val="2"/>
        <scheme val="minor"/>
      </rPr>
      <t>ç</t>
    </r>
    <r>
      <rPr>
        <u/>
        <sz val="9.5"/>
        <rFont val="Calibri"/>
        <family val="2"/>
        <scheme val="minor"/>
      </rPr>
      <t xml:space="preserve">ão Jurídica:
</t>
    </r>
    <r>
      <rPr>
        <sz val="9.5"/>
        <rFont val="Calibri"/>
        <family val="2"/>
        <scheme val="minor"/>
      </rPr>
      <t xml:space="preserve">Orientação Jurisprudencial </t>
    </r>
    <r>
      <rPr>
        <u/>
        <sz val="9.5"/>
        <color rgb="FF0000ED"/>
        <rFont val="Calibri"/>
        <family val="2"/>
        <scheme val="minor"/>
      </rPr>
      <t>SDI 1/TST nº 394</t>
    </r>
  </si>
  <si>
    <t>MÓDULO 2
Encargos e Benefícios Anuais, Mensais e Diários.Submódulo 2.1 - 13º (décimo terceiro) Salário, Férias e Adicional de Férias</t>
  </si>
  <si>
    <t>Submódulo 2.1 – 13º Salário e Adicional de Férias.</t>
  </si>
  <si>
    <t>A</t>
  </si>
  <si>
    <t>13º SALÁRIO</t>
  </si>
  <si>
    <r>
      <t xml:space="preserve">Remuneração/12.     Em     percentual     da     Remuneração     = (1/12)*100=8,33%                                                                
Fonte: Acórdão TCU n. 1.904/2007 e Acórdão TCU-Plenario Nº 1513/2013. Gratificação de Natal, instituída pela Lei nº 4.090, de 13 de julho de 1962. A provisão mensal representa 1/12 da folha para que ao final do período complete um salário. </t>
    </r>
    <r>
      <rPr>
        <b/>
        <i/>
        <sz val="9.5"/>
        <color rgb="FFFF0000"/>
        <rFont val="Calibri"/>
        <family val="2"/>
        <scheme val="minor"/>
      </rPr>
      <t>Memória de Cálculo: (1/12) x 100 = 8,33%.</t>
    </r>
  </si>
  <si>
    <t>B</t>
  </si>
  <si>
    <t>C</t>
  </si>
  <si>
    <t>INCIDÊNCIA DO SUBMÓDULO 2.2.</t>
  </si>
  <si>
    <t>De  acordo  com  a  Nota  3  do  Submódulo  2.2  da  IN  05/2017, os    percentuais    do    referido    submódulo    incidem    sobre o Submódulo 2.1. (Redação dada pela Instrução Normativa nº 7, de 2018)</t>
  </si>
  <si>
    <t>Submódulo 2.2 - Encargos Previdenciários (GPS), Fundo de Garantia por Tempo de Serviço (FGTS) e outras contribuições</t>
  </si>
  <si>
    <t>Submódulo 2.2. Encargos Previdenciários e FGTS e outras</t>
  </si>
  <si>
    <t>INSS</t>
  </si>
  <si>
    <t>Conforme  o  artigo  22,  inciso  I,  da  Lei  8.212/91,  a  empresa custeia 20%</t>
  </si>
  <si>
    <t>SALÁRIO EDUCAÇÃO</t>
  </si>
  <si>
    <t>A prestadora de serviços contribui com 2,5%, por determinação do art. 15, da Lei nº 9.424/96; do art. 2º do Decreto nº 3.142/99; e art. 212, § 5º da CF.</t>
  </si>
  <si>
    <t>SEGURO ACIDENTE DE TRABALHO + FAP</t>
  </si>
  <si>
    <t>Segundo  a  classificação  do  nível  de  risco  dos  serviços,  o prêmio pode ser de 1%, 2% ou 3%, é o que preceitua o artigo 22,   inciso   II,   da   Lei   nº   8.212/91.   (RAT   *   FAP)   =   RAT Ajustado* FAP (0,50) * RAT (3,00) = 1,5%</t>
  </si>
  <si>
    <t>D</t>
  </si>
  <si>
    <t>SESI/SESC</t>
  </si>
  <si>
    <t xml:space="preserve">Por  força  do  artigo  30  da  Lei  nº  8.036/90,  a  contratada  fica obrigada a contribuir com esses sistemas. </t>
  </si>
  <si>
    <t>E</t>
  </si>
  <si>
    <t>SENAI/SENAC</t>
  </si>
  <si>
    <t xml:space="preserve">Em obediência ao Decreto-Lei nº 2.318/86. </t>
  </si>
  <si>
    <t>F</t>
  </si>
  <si>
    <t>SEBRAE</t>
  </si>
  <si>
    <t>O  empregador,  para  atender  à  Lei  nº  8.029/90,  contribui  com 0,6% sobre a folha de pagamento.</t>
  </si>
  <si>
    <t>G</t>
  </si>
  <si>
    <t>INCRA</t>
  </si>
  <si>
    <t>A empresa participa com 0,2%, para atendimento dos artigos 1º e 2º do Decreto-Lei nº 1.146/70.</t>
  </si>
  <si>
    <t>H</t>
  </si>
  <si>
    <t>FGTS</t>
  </si>
  <si>
    <t>O   depósito   voltou   a   ser   de   8%,   como   preconiza   a   Lei Complementar  110/2001.  O  tributo  está  previsto  no  art.  7º, Inciso  III,  da  Constituição  Federal,  tendo  sido  regulamentado pela Lei nº 8.030/90, artigo 15.</t>
  </si>
  <si>
    <t>------</t>
  </si>
  <si>
    <t>Submódulo 2.3 – Benefícios Mensais e Diários</t>
  </si>
  <si>
    <t>A) Transporte:</t>
  </si>
  <si>
    <t>TRANSPORTE</t>
  </si>
  <si>
    <t>VALOR UNITÁRIO</t>
  </si>
  <si>
    <t>VALOR TOTAL</t>
  </si>
  <si>
    <t>Casa/Trabalho (1 vale de R$ 5,50)</t>
  </si>
  <si>
    <t>Trabalho/Casa (1 vale de R$ 5,50)</t>
  </si>
  <si>
    <t>TOTAL BRUTO</t>
  </si>
  <si>
    <t>DESCONTO 6% SALÁRIO</t>
  </si>
  <si>
    <t>12X36</t>
  </si>
  <si>
    <r>
      <rPr>
        <u/>
        <sz val="9.5"/>
        <rFont val="Calibri"/>
        <family val="2"/>
        <scheme val="minor"/>
      </rPr>
      <t>Metodolo</t>
    </r>
    <r>
      <rPr>
        <sz val="9.5"/>
        <rFont val="Calibri"/>
        <family val="2"/>
        <scheme val="minor"/>
      </rPr>
      <t>g</t>
    </r>
    <r>
      <rPr>
        <u/>
        <sz val="9.5"/>
        <rFont val="Calibri"/>
        <family val="2"/>
        <scheme val="minor"/>
      </rPr>
      <t>ia de Cálculo do Vale-Transporte para postos 12x36hs</t>
    </r>
    <r>
      <rPr>
        <sz val="9.5"/>
        <rFont val="Calibri"/>
        <family val="2"/>
        <scheme val="minor"/>
      </rPr>
      <t>:</t>
    </r>
  </si>
  <si>
    <t>B) Auxílio Alimentação:</t>
  </si>
  <si>
    <t>ALIMENTAÇÃO</t>
  </si>
  <si>
    <t>QTD</t>
  </si>
  <si>
    <t>VALOR FINAL</t>
  </si>
  <si>
    <r>
      <rPr>
        <sz val="9.5"/>
        <rFont val="Calibri"/>
        <family val="2"/>
        <scheme val="minor"/>
      </rPr>
      <t xml:space="preserve">Vale Alimentação
</t>
    </r>
    <r>
      <rPr>
        <b/>
        <sz val="9.5"/>
        <rFont val="Calibri"/>
        <family val="2"/>
        <scheme val="minor"/>
      </rPr>
      <t>12X36</t>
    </r>
  </si>
  <si>
    <t>C) Assistência Médica e Familiar</t>
  </si>
  <si>
    <t>Assistência Médica:</t>
  </si>
  <si>
    <t>D) Assistência Odontológica</t>
  </si>
  <si>
    <t>Assistência Odontológica:</t>
  </si>
  <si>
    <t>F) Seguro de Vida:</t>
  </si>
  <si>
    <t>Seguro de vida:</t>
  </si>
  <si>
    <t>MÓDULO 3: Provisão para Rescisão:</t>
  </si>
  <si>
    <t>INCIDÊNCIA DO FGTS SOBRE O AVISO PRÉVIO INDENIZADO</t>
  </si>
  <si>
    <t>FGTS 8% x o item A do módulo 3.</t>
  </si>
  <si>
    <t>MULTA DO FGTS DO AVISO PRÉVIO INDENIZADO</t>
  </si>
  <si>
    <t>Estima-se  que  5%  do  pessoal  é  demitido  antes  do  término  do contrato.  Assim,  o  cálculo  é:  (0,05x0,4)*0,08  =  0,16%,  onde: 5%  corresponde  à  estatística  de  demissões  antes  do  término; 40%  é  a  multa  do  FGTS;  8%  é  a  alíquota  do  FGTS.  Fonte: NOTA TÉCNICA 001/2013 do CJF e Acórdão TCU - Plenário nº 1513/2013.
A  partir  de  1º/1/2020,  foi  extinta  a  contribuição  social  devida pelos  empregadores  em  caso  de  despedida  de  empregado  sem justa causa, que corresponde à alíquota de 10% (dez por cento) sobre  o  montante  de  todos  os  depósitos  devidos,  referente  ao Fundo  de  Garantia  do  Tempo  de  Serviço  (FGTS).  A  Lei  n.º 13.932/2019, em seu parágrafo 12, extinguiu essa contribuição, conforme transcrição a seguir:
[...] Art. 12. A partir de 1º de janeiro de 2020, fica extinta a contribuição social instituída por meio do art. 1º da Lei Complementar nº 110, de 29 de junho de 2001.</t>
  </si>
  <si>
    <t>INCIDÊNCIA DO SUBMÓDULO 2.2 SOBRE O AVISO PRÉVIO TRABALHADO</t>
  </si>
  <si>
    <t>Total do Submódulo 2.2 x o item D do submódulo 3.</t>
  </si>
  <si>
    <t>MULTA DO FGTS NAS RESCISÕES SEM JUSTA CAUSA</t>
  </si>
  <si>
    <r>
      <rPr>
        <b/>
        <sz val="9.5"/>
        <rFont val="Calibri"/>
        <family val="2"/>
        <scheme val="minor"/>
      </rPr>
      <t>MÓDULO 4 - Custo de Reposição do Profissional Ausente
Submódulo 4.1 – Substituto nas Ausências Legais:</t>
    </r>
  </si>
  <si>
    <t>Submódulo 4.1 – Substituto nas Ausências Legais</t>
  </si>
  <si>
    <t>SUBSTITUTO NA COBERTURA DE FÉRIAS</t>
  </si>
  <si>
    <r>
      <rPr>
        <sz val="9.5"/>
        <rFont val="Calibri"/>
        <family val="2"/>
        <scheme val="minor"/>
      </rPr>
      <t>SUBSTITUTO NA COBERTURA
DE AUSÊNCIAS LEGAIS</t>
    </r>
  </si>
  <si>
    <t>SUBSTITUTO NA COBERTURA DE LICENÇA PATERNIDADE</t>
  </si>
  <si>
    <r>
      <rPr>
        <sz val="9.5"/>
        <rFont val="Calibri"/>
        <family val="2"/>
        <scheme val="minor"/>
      </rPr>
      <t>SUBSTITUTO NA COBERTURA
DE AUSÊNCIA POR ACIDENTE DE TRABALHO</t>
    </r>
  </si>
  <si>
    <r>
      <rPr>
        <sz val="9.5"/>
        <rFont val="Calibri"/>
        <family val="2"/>
        <scheme val="minor"/>
      </rPr>
      <t>SUBSTITUTO NA COBERTURA
DE AFASTAMENTO MATERNIDADE</t>
    </r>
  </si>
  <si>
    <t>TOTAL DAS AUSÊNCIAS LEGAIS</t>
  </si>
  <si>
    <t>---</t>
  </si>
  <si>
    <r>
      <rPr>
        <b/>
        <sz val="11"/>
        <rFont val="Calibri"/>
        <family val="2"/>
        <scheme val="minor"/>
      </rPr>
      <t xml:space="preserve">MÓDULO 6: Custos Indiretos, Tributos e Lucro
</t>
    </r>
    <r>
      <rPr>
        <sz val="11"/>
        <rFont val="Calibri"/>
        <family val="2"/>
        <scheme val="minor"/>
      </rPr>
      <t>Empresa Optante pelo Lucro Real</t>
    </r>
  </si>
  <si>
    <r>
      <rPr>
        <u/>
        <sz val="9.5"/>
        <rFont val="Calibri"/>
        <family val="2"/>
        <scheme val="minor"/>
      </rPr>
      <t>Metodolo</t>
    </r>
    <r>
      <rPr>
        <sz val="9.5"/>
        <rFont val="Calibri"/>
        <family val="2"/>
        <scheme val="minor"/>
      </rPr>
      <t>g</t>
    </r>
    <r>
      <rPr>
        <u/>
        <sz val="9.5"/>
        <rFont val="Calibri"/>
        <family val="2"/>
        <scheme val="minor"/>
      </rPr>
      <t>ia de Cálculo</t>
    </r>
    <r>
      <rPr>
        <sz val="9.5"/>
        <rFont val="Calibri"/>
        <family val="2"/>
        <scheme val="minor"/>
      </rPr>
      <t xml:space="preserve">:
</t>
    </r>
    <r>
      <rPr>
        <b/>
        <sz val="9.5"/>
        <rFont val="Calibri"/>
        <family val="2"/>
        <scheme val="minor"/>
      </rPr>
      <t>(Módulo 1 + Módulo 2 + Módulo 3 + Módulo 4 + Módulo 5) * Percentual de Custos Indiretos</t>
    </r>
  </si>
  <si>
    <r>
      <rPr>
        <u/>
        <sz val="9.5"/>
        <rFont val="Calibri"/>
        <family val="2"/>
        <scheme val="minor"/>
      </rPr>
      <t>Metodolo</t>
    </r>
    <r>
      <rPr>
        <sz val="9.5"/>
        <rFont val="Calibri"/>
        <family val="2"/>
        <scheme val="minor"/>
      </rPr>
      <t>g</t>
    </r>
    <r>
      <rPr>
        <u/>
        <sz val="9.5"/>
        <rFont val="Calibri"/>
        <family val="2"/>
        <scheme val="minor"/>
      </rPr>
      <t>ia de Cálculo</t>
    </r>
    <r>
      <rPr>
        <sz val="9.5"/>
        <rFont val="Calibri"/>
        <family val="2"/>
        <scheme val="minor"/>
      </rPr>
      <t xml:space="preserve">:
</t>
    </r>
    <r>
      <rPr>
        <b/>
        <sz val="9.5"/>
        <rFont val="Calibri"/>
        <family val="2"/>
        <scheme val="minor"/>
      </rPr>
      <t>(Módulo  1  +  Módulo  2  +  Módulo  3  +  Módulo  4  +  Módulo  5  +  Custos  Indiretos)  * Percentual de Lucro</t>
    </r>
  </si>
  <si>
    <r>
      <rPr>
        <u/>
        <sz val="9.5"/>
        <rFont val="Calibri"/>
        <family val="2"/>
        <scheme val="minor"/>
      </rPr>
      <t>Metodolo</t>
    </r>
    <r>
      <rPr>
        <sz val="9.5"/>
        <rFont val="Calibri"/>
        <family val="2"/>
        <scheme val="minor"/>
      </rPr>
      <t>g</t>
    </r>
    <r>
      <rPr>
        <u/>
        <sz val="9.5"/>
        <rFont val="Calibri"/>
        <family val="2"/>
        <scheme val="minor"/>
      </rPr>
      <t>ia de Cálculo</t>
    </r>
    <r>
      <rPr>
        <sz val="9.5"/>
        <rFont val="Calibri"/>
        <family val="2"/>
        <scheme val="minor"/>
      </rPr>
      <t xml:space="preserve">:
</t>
    </r>
    <r>
      <rPr>
        <b/>
        <sz val="9.5"/>
        <rFont val="Calibri"/>
        <family val="2"/>
        <scheme val="minor"/>
      </rPr>
      <t>(Módulo  1  +  Módulo  2  +  Módulo  3  +  Módulo  4  +  Módulo  5  +  Custos  Indiretos  + Lucro) / (1 – Soma dos percentuais de tributos)</t>
    </r>
  </si>
  <si>
    <t>Total de Postos</t>
  </si>
  <si>
    <r>
      <t xml:space="preserve">D) Adicional Noturno: </t>
    </r>
    <r>
      <rPr>
        <b/>
        <sz val="10"/>
        <color rgb="FF000000"/>
        <rFont val="Calibri"/>
        <family val="2"/>
        <scheme val="minor"/>
      </rPr>
      <t>R$ 317,89</t>
    </r>
  </si>
  <si>
    <t>E) Adicional de Hora Noturna Reduzida: R$ 45,41</t>
  </si>
  <si>
    <r>
      <rPr>
        <u/>
        <sz val="9.5"/>
        <rFont val="Calibri"/>
        <family val="2"/>
        <scheme val="minor"/>
      </rPr>
      <t>Metodolo</t>
    </r>
    <r>
      <rPr>
        <sz val="9.5"/>
        <rFont val="Calibri"/>
        <family val="2"/>
        <scheme val="minor"/>
      </rPr>
      <t>g</t>
    </r>
    <r>
      <rPr>
        <u/>
        <sz val="9.5"/>
        <rFont val="Calibri"/>
        <family val="2"/>
        <scheme val="minor"/>
      </rPr>
      <t>ia de Cálculo do Adicional Noturno</t>
    </r>
    <r>
      <rPr>
        <sz val="9.5"/>
        <rFont val="Calibri"/>
        <family val="2"/>
        <scheme val="minor"/>
      </rPr>
      <t xml:space="preserve">:
</t>
    </r>
    <r>
      <rPr>
        <b/>
        <sz val="9.5"/>
        <rFont val="Calibri"/>
        <family val="2"/>
        <scheme val="minor"/>
      </rPr>
      <t>((R$ 2.955,82 + R$ 886,75) / (220hs) * (20%) * (1hs) * (13d)</t>
    </r>
  </si>
  <si>
    <r>
      <rPr>
        <u/>
        <sz val="9.5"/>
        <rFont val="Calibri"/>
        <family val="2"/>
        <scheme val="minor"/>
      </rPr>
      <t>Metodolo</t>
    </r>
    <r>
      <rPr>
        <sz val="9.5"/>
        <rFont val="Calibri"/>
        <family val="2"/>
        <scheme val="minor"/>
      </rPr>
      <t>g</t>
    </r>
    <r>
      <rPr>
        <u/>
        <sz val="9.5"/>
        <rFont val="Calibri"/>
        <family val="2"/>
        <scheme val="minor"/>
      </rPr>
      <t>ia de Cálculo do Adicional Noturno</t>
    </r>
    <r>
      <rPr>
        <sz val="9.5"/>
        <rFont val="Calibri"/>
        <family val="2"/>
        <scheme val="minor"/>
      </rPr>
      <t xml:space="preserve">:
</t>
    </r>
    <r>
      <rPr>
        <b/>
        <sz val="9.5"/>
        <rFont val="Calibri"/>
        <family val="2"/>
        <scheme val="minor"/>
      </rPr>
      <t>((R$ 2.955,82 + R$ 886,75) / (220hs) * (20%) * (7hs) * (13d)</t>
    </r>
  </si>
  <si>
    <t xml:space="preserve">    C - Incidência do submódulo 2.2</t>
  </si>
  <si>
    <t xml:space="preserve">B) Lucro: </t>
  </si>
  <si>
    <t>EDIFÍCIO</t>
  </si>
  <si>
    <t>ESPECIFICAÇÃO</t>
  </si>
  <si>
    <t>HORÁRIO DO POSTO</t>
  </si>
  <si>
    <t>Sede do TRT 10ª Região</t>
  </si>
  <si>
    <t>Foro de Brasília</t>
  </si>
  <si>
    <t>Foro de Taguatinga</t>
  </si>
  <si>
    <t>Prédio de Apoio</t>
  </si>
  <si>
    <t>Brigadista/Bombeiro
Civil</t>
  </si>
  <si>
    <t>7h às 19h</t>
  </si>
  <si>
    <t>MATERIAIS DE PRIMEIROS SOCORROS (para cada edifício)</t>
  </si>
  <si>
    <t>DISCRIMINAÇÃO</t>
  </si>
  <si>
    <t>UNIDADE</t>
  </si>
  <si>
    <t>QUANTIDADE</t>
  </si>
  <si>
    <t>VALOR MENSAL</t>
  </si>
  <si>
    <t>Compressas de gaze 08 dobras (7,5cm x 7,5cm)</t>
  </si>
  <si>
    <t>Unid</t>
  </si>
  <si>
    <t>Compressas de gaze esterilizada (10cm x 15cm)</t>
  </si>
  <si>
    <t>Ataduras de crepe (20cm de largura)</t>
  </si>
  <si>
    <t>Ataduras de crepe (15cm de largura)</t>
  </si>
  <si>
    <t>Plástico protetor de queimaduras e eviscerações (01m x 01m) esterelizada</t>
  </si>
  <si>
    <t>Frascos de soro fisiológico de 250ml</t>
  </si>
  <si>
    <t>Fita adesiva (crepe)</t>
  </si>
  <si>
    <t>Talas moldáveis grandes (86cm x 10cm x 02cm)</t>
  </si>
  <si>
    <t>Talas moldáveis médias (63cm x 09cm x 02cm)</t>
  </si>
  <si>
    <t>Talas moldáveis pequenas (30cm x 08cm x 02cm)</t>
  </si>
  <si>
    <t>Bandagens triangulares (142cm x 100cm x 100cm)</t>
  </si>
  <si>
    <t>Jogo</t>
  </si>
  <si>
    <t>Bolsa térmica de gel flexível</t>
  </si>
  <si>
    <t>Luva em látex para procedimento, tamanho médio, caixa com 10 pares</t>
  </si>
  <si>
    <t>Luva em látex para procedimento, tamanho grande, caixa com 10 pares</t>
  </si>
  <si>
    <t>Máscara cirúrgica, branca, com elástico para prender atrás das orelhas,
clips nasal de alumínio, caixa com 50 unidades</t>
  </si>
  <si>
    <t>Álcool líquido 70%, em garrafa plástica de 500ml</t>
  </si>
  <si>
    <t xml:space="preserve">CUSTO MENSAL  </t>
  </si>
  <si>
    <t>EQUIPAMENTOS DE PRIMEIROS SOCORROS (para cada edifício)</t>
  </si>
  <si>
    <t xml:space="preserve">Cadeira de rodas com as seguintes especificações ou similar: Estrutura em Aco, pintura Epóxi, na cor: Azul ou cinza, dobrável, assento e encosto em Nylon higienizável, apoio para os braços fixos, apoio dobrável para os pés, rodas traseiras medindo 24 polegadas, pneus maciços e rodas dianteiras medindo 6 polegadas e capacidade mínima de 100kg  </t>
  </si>
  <si>
    <t>uni</t>
  </si>
  <si>
    <t>Prancha de resgate longa de material resistente, de 190cm x 45cm (comprimento x largura), para transporte de acidentado, com estabilizadores de cabeça.</t>
  </si>
  <si>
    <t>unid</t>
  </si>
  <si>
    <t>Aparelho digital para medir pressão, de pulso, com baterias sobressalentes</t>
  </si>
  <si>
    <t>Maleta grande de primeiros socorros, cor branca.</t>
  </si>
  <si>
    <t>FERRAMENTAS EM GERAL (Para cada edifício)</t>
  </si>
  <si>
    <t>alicate universal isolação 1000V 8”</t>
  </si>
  <si>
    <t>Alicate de pressão, de aço, nº 137-10</t>
  </si>
  <si>
    <t>Tesoura de aço para cortar metal</t>
  </si>
  <si>
    <t>Caixa de ferramentas, de aço, medindo 50cm x 20 cm x 21cm</t>
  </si>
  <si>
    <t>Machado, forjado em aço carbono, lâmina com tratamento térmico especial, que garanta resistência ao desgaste, com cabo de madeira reforçado</t>
  </si>
  <si>
    <t>Chave de fenda, nos tamanhos 1/8 x 4”</t>
  </si>
  <si>
    <t xml:space="preserve">Chave de fenda, nos tamanhos  3/16 x 4” </t>
  </si>
  <si>
    <t>Chave de fenda, nos tamanhos ¼ x 5”.</t>
  </si>
  <si>
    <t>Chave Philips, nos tamanhos ¼ x 4”</t>
  </si>
  <si>
    <t>Chave Philips, nos tamanhos  ¼ x 6”</t>
  </si>
  <si>
    <t>Chave Philips, nos tamanhos  1/8 x 3”</t>
  </si>
  <si>
    <t>Chave Philips, nos tamanhos 3/16 x 3”.</t>
  </si>
  <si>
    <t>Chave estrela, nos tamanhos 10 x 11</t>
  </si>
  <si>
    <t>Chave estrela, nos tamanhos  12 x 13</t>
  </si>
  <si>
    <t>Chave estrela, nos tamanhos 14 x 15.</t>
  </si>
  <si>
    <t>Marretas de  5Kg, com base polida, cabo curto de madeira fixado com cunhas metálicas.</t>
  </si>
  <si>
    <t>Chave de grifo de 640mm, com corpo em ferro fundido nodular, para instalações e manutenções hidráulicas, com grifo (chave) para tubos regulável.</t>
  </si>
  <si>
    <t>Arco de serra fixo de 12”.</t>
  </si>
  <si>
    <t>Lâmina para arco de serra para arco de serra fixo de 12”.</t>
  </si>
  <si>
    <t>Facão de 18”, em aço, com cabo em polipropileno.</t>
  </si>
  <si>
    <t>Chave de boca, nos tamanhos 8 x 9</t>
  </si>
  <si>
    <t>Chave de boca, nos tamanhos 10 x 11</t>
  </si>
  <si>
    <t>Chave de boca, nos tamanhos  14 x 15.</t>
  </si>
  <si>
    <t>Pé de cabra</t>
  </si>
  <si>
    <t>Chave de fenda teste ponta chata, com haste em aço carbono temperado e acabamento niquelado, com cabo injetado em acetato de celulose e circuito através de botão na extremidade do cabo, com lâmpada néon.</t>
  </si>
  <si>
    <t>Cabo da vida de 6 metros</t>
  </si>
  <si>
    <t>CUSTO MENSAL  POR POSTO</t>
  </si>
  <si>
    <t>MATERIAIS E EQUIPAMENTOS</t>
  </si>
  <si>
    <t>EQUIPAMENTOS DE SEGURANÇA PARA A BRIGADA CONTRA INCÊNDIO (para cada edifício)</t>
  </si>
  <si>
    <t>Escada prolongável em fibra de vidro ou em alumínio, medindo 4,8m quando fechada e 8,4 quando aberta. Montantes em perfil tipo U, não condutivos, degraus de alumínio estruturado, fixo à escada por meio de suporte em alumínio, com encaixe prensado. Corrediça de aço estampado, revestida com resina de PVC. Sapata articulável de alumínio, liga com solado de borracha. Catraca com base de aço estampada e gancho de aço forjado. Terminal de polietileno para alinhamento e deslizamento da escada. Suporte de apoio de aço, com tratamento anticorrosivo. Moitão de alumínio - liga, com corda de polipropileno de 3/8", distância entre os degraus de 300mm. Peso aproximado de 29Kg. Número de degraus úteis: 27. Possuir nos montantes externos punhos laterais, rebatíveis, posicionados um de cada lado, altura de 1,5m para facilitar as atividades de armar e desarmar, com comprimento de 16cm quando armado, possuindo encaixe para fixar o punho quando rebatido. Todas as medidas são aproximadas, tolerando-se 10% para mais ou para menos.</t>
  </si>
  <si>
    <t>metro</t>
  </si>
  <si>
    <t>Luvas de alta tensão confeccionadas em material isolante elétrico para trabalho em locais energizados, punho longo, com resistência mínima de 20.000 volts, para tensão de teste de 20KN e corrente de fuga máxima de 8000 amperes, tensão mínima de perfuração 30KV. Tamanho grande.</t>
  </si>
  <si>
    <t>par</t>
  </si>
  <si>
    <t>Cadeirinha tipo montanhismo acolchoada na cintura e nas pernas, confeccionada em fitas de nylon, tipo três pontas ou duas pontas com fivela de ajuste importada, cintura e pernas reguláveis, carga de ruptura miníma de 2500 KGF.</t>
  </si>
  <si>
    <t>100 metros de corda para resgate, estática, de 11,5mm de diâmetro, de poliamida, para trabalho leve (resgate) do tipo A. Carga de ruptura mínima de 3.200 Kg, pesando
aproximadamente 78 g/m, com elongação 50/150Kg, máxima de 2,7%. Resistência ao
impacto de 100Kg mínimo de número 15, com um número de queda fator 1.</t>
  </si>
  <si>
    <t>Fita zebrada plástica para isolamento em áreas de acidente nas cores amarela e preta, 07cmx200m.</t>
  </si>
  <si>
    <t>Capacete compatível com a atividade</t>
  </si>
  <si>
    <t>Puça retrátil tamanho G</t>
  </si>
  <si>
    <t>caixa para contenção e transporte de animais</t>
  </si>
  <si>
    <t xml:space="preserve">CUSTO MENSAL </t>
  </si>
  <si>
    <t>EQUIPAMENTOS DIVERSOS E DE COMUNICAÇÃO(POR POSTO)</t>
  </si>
  <si>
    <t>EQUIPAMENTOS DIVERSOS PARA BRIGADA CONTRA INCÊNDIO (por posto)</t>
  </si>
  <si>
    <t>Megafone com potência regulável nominal de 12 e máximo de 18 watts, com 230 x 355mm, 1,6Kg (sem bateria), alcance de 1Km em zona rural e 500m em zona urbana, autonomia de 15 horas, alimentação: 8 pilhas R6.</t>
  </si>
  <si>
    <t>EQUIPAMENTOS DE RONDA (por brigadista)</t>
  </si>
  <si>
    <t>CUSTO MENSAL POR BRIGADISTA</t>
  </si>
  <si>
    <t>INSUMOS - PREÇOS ESTIMADOS</t>
  </si>
  <si>
    <t>ESTIMATIVA ANUAL DE EPIS POR BRIGADISTA</t>
  </si>
  <si>
    <t>Lanterna resistente a água e produtos químicos, com feixe branco que penetra na fumaça e neblina, alcance mínimo 40 metros, alimentação por pilhas ou bateria, antiexplosiva, autonomia mínima de 1 hora e 30 minutos de uso contínuo.</t>
  </si>
  <si>
    <t>unid.</t>
  </si>
  <si>
    <t>Capacete com quebra telha</t>
  </si>
  <si>
    <t>Par de luvas em vaqueta com elástico de ajuste embutido</t>
  </si>
  <si>
    <t>Sinalizador de braço e tórax</t>
  </si>
  <si>
    <t>Capas de chuva/jaqueta de segurança confeccionada em tela sintética revestida em PVC, fechamento frontal através de quatro botões plásticos de pressão, costuras através de solda eletrônica.</t>
  </si>
  <si>
    <t>Protetor auditivo, tipo inserção moldável, de espuma de poliuretano, no formato cilíndrico</t>
  </si>
  <si>
    <t>Respirador purificador de ar de segurança, tipo peça semifacial, composta de duas partes: uma peça externa, confeccionada em material plástico rígido na cor azul, e a parte interna confeccionada em elastômero termoplástico.</t>
  </si>
  <si>
    <t>Pochete de perna, em polipropileno, nylon e algodão</t>
  </si>
  <si>
    <t xml:space="preserve">Luva para rapel confeccionada em vaqueta de alta qualidade e resistência à abrasão, com costura reforçada cobrindo toda a palma da mão, da parte
interna do polegar até a falange proximal do dedo indicador em tecido antichama, devendo possuir regulagem em velcro no punho, não podendo este ser maior que 10 nem menor que 6 centímetros. - EPI </t>
  </si>
  <si>
    <t>TOTAL ANUAL DE EPIS</t>
  </si>
  <si>
    <t>CUSTO MENSAL DE EPIS</t>
  </si>
  <si>
    <t>ESTIMATIVA ANUAL DE UNIFORMES POR BRIGADISTA</t>
  </si>
  <si>
    <t>PREÇO 1</t>
  </si>
  <si>
    <t>PREÇO 2</t>
  </si>
  <si>
    <t>PREÇO 3</t>
  </si>
  <si>
    <t>Uniforme padrão bombeiro civil, com logotipo da empresa contratada na parte superior esquerda. Na parte superior direita o nome e tipo sanguíneo e fator RH do usuário na camiseta camiseta de algodão e na gandola, que deverá ser
feita em tecido “Rip Stop”, assim como a calça, sendo todo o uniforme confeccionado em material de boa qualidade. No braço direito deverá conter o velcro com o nome do órgão.</t>
  </si>
  <si>
    <t>Par de meia pretas</t>
  </si>
  <si>
    <t>Par</t>
  </si>
  <si>
    <t>Parte de coturnos pretos com cabedal em couro nobuk hidrofugado, espessura de 2mm, dublado com tecido de poliéster e colarinho de couro pelica;
forração interna de acrilíco automativo, com isolamento térmico em EVA; reforço interno de material termoplástico leve e resistente, no bico e calcanhar; solado de borracha maciço, vulcanizado ao cabedal, resistente à corrente elétrica; vedação resistente à água ou 100% impermeável.</t>
  </si>
  <si>
    <t>Blusa de frio (tipo japona), de boa qualidade</t>
  </si>
  <si>
    <t>Cinto em poliéster, cor preta, modelo com fivela e ponteira prata.</t>
  </si>
  <si>
    <t>Pares de bombachas de elástico resistente</t>
  </si>
  <si>
    <t>TOTAL ANUAL DE UNIFORMES</t>
  </si>
  <si>
    <t>CUSTO MENSAL DE UNIFORMES</t>
  </si>
  <si>
    <t xml:space="preserve">    B - EPI's</t>
  </si>
  <si>
    <t xml:space="preserve">    C - Primeiros Socorros</t>
  </si>
  <si>
    <t xml:space="preserve">    C - Materiais e Equipamentos</t>
  </si>
  <si>
    <t xml:space="preserve">    D - Ferramentas</t>
  </si>
  <si>
    <t xml:space="preserve">    F - Outros (folguista)</t>
  </si>
  <si>
    <t>FÉRIAS E ADICIONAL DE  FÉRIAS</t>
  </si>
  <si>
    <t>DESCONTO
Previsão CCT</t>
  </si>
  <si>
    <t>A) Despesas Administrativas:</t>
  </si>
  <si>
    <t xml:space="preserve">    A – Substituto nas Ausências de Férias</t>
  </si>
  <si>
    <t>RESUMO DOS PREÇOS</t>
  </si>
  <si>
    <t>Tesoura de Ponta Romba equipamentos de proteção individual para o socorrista (óculos de
segurança, máscara semi-facial, luvas de procedimento</t>
  </si>
  <si>
    <t>Máscara de proteção facial contra gases com encaixe tipo rosca para cartuchos classe 1 ou 2.</t>
  </si>
  <si>
    <t>Termômetro digital aprovado pelo INMETRO, beep sonoro e aviso de medição, display de LCD
de fácil visualização, alarme de febre, memória da última medição, desligamento automático,
indicador de bateria fraca.</t>
  </si>
  <si>
    <r>
      <rPr>
        <u/>
        <sz val="9.5"/>
        <rFont val="Calibri"/>
        <family val="2"/>
        <scheme val="minor"/>
      </rPr>
      <t>Metodolo</t>
    </r>
    <r>
      <rPr>
        <sz val="9.5"/>
        <rFont val="Calibri"/>
        <family val="2"/>
        <scheme val="minor"/>
      </rPr>
      <t>g</t>
    </r>
    <r>
      <rPr>
        <u/>
        <sz val="9.5"/>
        <rFont val="Calibri"/>
        <family val="2"/>
        <scheme val="minor"/>
      </rPr>
      <t>ia de Cálculo do Adicional de Periculosidade</t>
    </r>
    <r>
      <rPr>
        <sz val="9.5"/>
        <rFont val="Calibri"/>
        <family val="2"/>
        <scheme val="minor"/>
      </rPr>
      <t xml:space="preserve">:
</t>
    </r>
    <r>
      <rPr>
        <b/>
        <sz val="9.5"/>
        <rFont val="Calibri"/>
        <family val="2"/>
        <scheme val="minor"/>
      </rPr>
      <t>R$ 3.494,54 * 30%</t>
    </r>
  </si>
  <si>
    <r>
      <rPr>
        <b/>
        <u/>
        <sz val="9.5"/>
        <rFont val="Calibri"/>
        <family val="2"/>
        <scheme val="minor"/>
      </rPr>
      <t>Metodolo</t>
    </r>
    <r>
      <rPr>
        <b/>
        <sz val="9.5"/>
        <rFont val="Calibri"/>
        <family val="2"/>
        <scheme val="minor"/>
      </rPr>
      <t>g</t>
    </r>
    <r>
      <rPr>
        <b/>
        <u/>
        <sz val="9.5"/>
        <rFont val="Calibri"/>
        <family val="2"/>
        <scheme val="minor"/>
      </rPr>
      <t>ia de Cálculo</t>
    </r>
    <r>
      <rPr>
        <b/>
        <sz val="9.5"/>
        <rFont val="Calibri"/>
        <family val="2"/>
        <scheme val="minor"/>
      </rPr>
      <t xml:space="preserve">:
Postos 12x36hs:             </t>
    </r>
    <r>
      <rPr>
        <sz val="9.5"/>
        <rFont val="Calibri"/>
        <family val="2"/>
        <scheme val="minor"/>
      </rPr>
      <t xml:space="preserve"> (R$ 43,62)  *  (13 dias)  - (0,30)</t>
    </r>
  </si>
  <si>
    <t>R$ 175,76 (cento e setenta e cinco reais e setenta e seis centavos).</t>
  </si>
  <si>
    <t>R$ 12,20 (doze reais e vinte centavos).</t>
  </si>
  <si>
    <t>R$ 12,14 (doze reais e quatorze centavos) mensais por profissional, conforme Cláusula Décima Quinta da CCT 2023/2023 do SINDIBOMBEIROS</t>
  </si>
  <si>
    <t xml:space="preserve">                 VIPPIM Segurança e Vigilância LTDA</t>
  </si>
  <si>
    <t>Ao</t>
  </si>
  <si>
    <t>TRT 10a REGIÃO</t>
  </si>
  <si>
    <t>Brasília - DF</t>
  </si>
  <si>
    <t>Ref. PROPOSTA DE PREÇOS</t>
  </si>
  <si>
    <t>Prezados Senhores,</t>
  </si>
  <si>
    <t>DADOS DA EMPRESA:</t>
  </si>
  <si>
    <r>
      <t xml:space="preserve">RAZÃO SOCIAL: </t>
    </r>
    <r>
      <rPr>
        <sz val="12"/>
        <rFont val="Arial Narrow"/>
        <family val="2"/>
      </rPr>
      <t>VIPPIM VIGILÂNCIA E SEGURANÇA LTDA</t>
    </r>
  </si>
  <si>
    <r>
      <t xml:space="preserve">CNPJ: </t>
    </r>
    <r>
      <rPr>
        <sz val="12"/>
        <rFont val="Arial Narrow"/>
        <family val="2"/>
      </rPr>
      <t>11.349.160/0001-67</t>
    </r>
  </si>
  <si>
    <r>
      <t xml:space="preserve">ENDEREÇO: </t>
    </r>
    <r>
      <rPr>
        <sz val="12"/>
        <rFont val="Arial Narrow"/>
        <family val="2"/>
      </rPr>
      <t>RUA 05 LOTE 23 Loja 02 - PÓLO DE MODAS - GUARÁ - DF -                 CEP: 71.070-505</t>
    </r>
  </si>
  <si>
    <r>
      <t xml:space="preserve">TELEFONE: </t>
    </r>
    <r>
      <rPr>
        <sz val="12"/>
        <rFont val="Arial Narrow"/>
        <family val="2"/>
      </rPr>
      <t>61-3386-8878</t>
    </r>
    <r>
      <rPr>
        <b/>
        <sz val="12"/>
        <rFont val="Arial Narrow"/>
        <family val="2"/>
      </rPr>
      <t xml:space="preserve"> - EMAIL: </t>
    </r>
    <r>
      <rPr>
        <sz val="12"/>
        <rFont val="Arial Narrow"/>
        <family val="2"/>
      </rPr>
      <t>vippimezpcomercial@gmail.com</t>
    </r>
  </si>
  <si>
    <t xml:space="preserve">DADOS BANCÁRIOS: </t>
  </si>
  <si>
    <r>
      <t xml:space="preserve">BANCO DO BRASIL S/A             AGÊNCIA: </t>
    </r>
    <r>
      <rPr>
        <sz val="12"/>
        <rFont val="Arial Narrow"/>
        <family val="2"/>
      </rPr>
      <t xml:space="preserve">3599-8 </t>
    </r>
    <r>
      <rPr>
        <b/>
        <sz val="12"/>
        <rFont val="Arial Narrow"/>
        <family val="2"/>
      </rPr>
      <t xml:space="preserve">            CONTA-CORRENTE: </t>
    </r>
    <r>
      <rPr>
        <sz val="12"/>
        <rFont val="Arial Narrow"/>
        <family val="2"/>
      </rPr>
      <t>222.658-8</t>
    </r>
  </si>
  <si>
    <t>DADOS DO REPRESENTANTE LEGAL PARA ASSINATURA DO CONTRATO:</t>
  </si>
  <si>
    <r>
      <t xml:space="preserve">NOME: </t>
    </r>
    <r>
      <rPr>
        <sz val="12"/>
        <rFont val="Arial Narrow"/>
        <family val="2"/>
      </rPr>
      <t>Eurípedes Gonçalves</t>
    </r>
  </si>
  <si>
    <r>
      <t xml:space="preserve">ENDEREÇO: </t>
    </r>
    <r>
      <rPr>
        <sz val="12"/>
        <rFont val="Arial Narrow"/>
        <family val="2"/>
      </rPr>
      <t>CH 53 LOTE 06 - TAGUATINGA</t>
    </r>
  </si>
  <si>
    <r>
      <t xml:space="preserve">CEP: </t>
    </r>
    <r>
      <rPr>
        <sz val="12"/>
        <rFont val="Arial Narrow"/>
        <family val="2"/>
      </rPr>
      <t>72.001-500</t>
    </r>
  </si>
  <si>
    <r>
      <t xml:space="preserve">ESTADO CIVIL: </t>
    </r>
    <r>
      <rPr>
        <sz val="12"/>
        <rFont val="Arial Narrow"/>
        <family val="2"/>
      </rPr>
      <t>CASADO</t>
    </r>
  </si>
  <si>
    <t>CARGO/FUNÇÃO: SÓCIO</t>
  </si>
  <si>
    <r>
      <t xml:space="preserve">CPF: </t>
    </r>
    <r>
      <rPr>
        <sz val="12"/>
        <rFont val="Arial Narrow"/>
        <family val="2"/>
      </rPr>
      <t>256.203.981-53</t>
    </r>
  </si>
  <si>
    <t>RG: 623.703 - SSP-DF</t>
  </si>
  <si>
    <r>
      <t xml:space="preserve">NATURALIDADE: </t>
    </r>
    <r>
      <rPr>
        <sz val="12"/>
        <rFont val="Arial Narrow"/>
        <family val="2"/>
      </rPr>
      <t>BRASÍLIA</t>
    </r>
  </si>
  <si>
    <t>NACIONALIDADE: BRASILEIRO</t>
  </si>
  <si>
    <t>DADOS DA CCT UTILIZADA PARA FORMULAÇÃO DA PROPOSTA:</t>
  </si>
  <si>
    <r>
      <t xml:space="preserve">SINDICATO: </t>
    </r>
    <r>
      <rPr>
        <sz val="12"/>
        <rFont val="Arial Narrow"/>
        <family val="2"/>
      </rPr>
      <t>SINDICATO DOS TRABALHADORES BOMBEIROS PROFISSIONAIS DO DISTRITO FEDERAL - SINDBOMBEIROS</t>
    </r>
  </si>
  <si>
    <t>DECLARAÇÕES:</t>
  </si>
  <si>
    <r>
      <t xml:space="preserve">2) </t>
    </r>
    <r>
      <rPr>
        <sz val="12"/>
        <rFont val="Arial Narrow"/>
        <family val="2"/>
      </rPr>
      <t>não está sob pena de interdição de direitos previstos na Lei nº 9.605, de 12.02.98 (Lei de Crimes Ambientais);</t>
    </r>
  </si>
  <si>
    <r>
      <t xml:space="preserve">3) </t>
    </r>
    <r>
      <rPr>
        <sz val="12"/>
        <rFont val="Arial Narrow"/>
        <family val="2"/>
      </rPr>
      <t>não participa da empresa licitante, servidor ou dirigente do TRF – 1ª Região, nos termos da Resolução nº 229/2016 do Conselho Nacional de Justiça - CNJ, direta ou indiretamente;</t>
    </r>
  </si>
  <si>
    <r>
      <t>4)</t>
    </r>
    <r>
      <rPr>
        <sz val="12"/>
        <rFont val="Arial Narrow"/>
        <family val="2"/>
      </rPr>
      <t xml:space="preserve"> Os preços propostos foram cotados conforme salários e benefícios previstos na Convenção Coletiva de Trabalho do SEAC-DF e SINDIBOMBEIROS-DF, cuja vigência da data base é de 01/01/2020 à 31/12/2020;</t>
    </r>
  </si>
  <si>
    <r>
      <t>5)</t>
    </r>
    <r>
      <rPr>
        <sz val="12"/>
        <rFont val="Arial Narrow"/>
        <family val="2"/>
      </rPr>
      <t xml:space="preserve"> tem ciência do montante mensal do depósito vinculado, igual ao somatório dos valores das rubricas constantes da observação 1, Anexo II deste Edital, em atendimento ao art. 4º da Resolução 169/2013 – CNJ;</t>
    </r>
  </si>
  <si>
    <r>
      <t>7)</t>
    </r>
    <r>
      <rPr>
        <sz val="12"/>
        <rFont val="Arial Narrow"/>
        <family val="2"/>
      </rPr>
      <t xml:space="preserve"> que tem pleno conhecimento das condições e peculiaridades inerentes à natureza dos trabalhos, assumindo total responsabilidade pela a ocorrência de eventuais prejuízos em virtude de sua omissão na verificação dos locais da prestação dos serviços, com vistas a proteger o interesse da Administração na fase de execução do contrato, nos termos do Acórdão1174/2008 – Plenário – TCU.</t>
    </r>
  </si>
  <si>
    <r>
      <t>2)</t>
    </r>
    <r>
      <rPr>
        <sz val="12"/>
        <rFont val="Arial Narrow"/>
        <family val="2"/>
      </rPr>
      <t xml:space="preserve"> o prazo de validade da proposta é de 60 (sessenta) dias corridos, a contar da entrega da proposta.</t>
    </r>
  </si>
  <si>
    <r>
      <t>3)</t>
    </r>
    <r>
      <rPr>
        <sz val="12"/>
        <rFont val="Arial Narrow"/>
        <family val="2"/>
      </rPr>
      <t xml:space="preserve"> Os serviços serão executados conforme estabelecido no Anexo I.</t>
    </r>
  </si>
  <si>
    <t>Valor Total para 12 meses</t>
  </si>
  <si>
    <t>Apresentamos a Vossa Senhoria nossa proposta para prestação de serviços de apoio administrativo e operacional na área de segurança contra incêndio, pânico, abandono de edificação, primeiros socorros e desenvolvimento de política prevencionista de segurança contra incêndio, para as edificações sediadas no Distrito Federal e de propriedade ou de uso do Tribunal Regional do Trabalho da 10ª Região, com o emprego de Bombeiro Civil, conforme condições, quantidades e exigências estabelecidas no Anexo I deste Edital., conforme a seguir:</t>
  </si>
  <si>
    <r>
      <t xml:space="preserve">No. DO REGISTRO DO MTE: </t>
    </r>
    <r>
      <rPr>
        <sz val="12"/>
        <rFont val="Arial Narrow"/>
        <family val="2"/>
      </rPr>
      <t>DF000140/2023</t>
    </r>
  </si>
  <si>
    <r>
      <t xml:space="preserve">VIGÊNCIA: </t>
    </r>
    <r>
      <rPr>
        <sz val="12"/>
        <rFont val="Arial Narrow"/>
        <family val="2"/>
      </rPr>
      <t>01/01/2023 À 31/12/2023</t>
    </r>
  </si>
  <si>
    <r>
      <t xml:space="preserve">DATA: </t>
    </r>
    <r>
      <rPr>
        <sz val="11"/>
        <rFont val="Arial"/>
        <family val="2"/>
      </rPr>
      <t>09/03/2023</t>
    </r>
  </si>
  <si>
    <t>TOTAL SUBMÓDULO 4.1</t>
  </si>
  <si>
    <t>A - Aviso prévio indenizado (CF, art. 7º, inciso XXI e CLT, arts. 477 e 487 a 491. Trata-se de valor devido ao empregado no caso de o empregador rescindir o contrato sem justo motivo e sem lhe conceder aviso prévio. De acordo com as estatísticas desta empresa, menos de 0,50% do seu pessoal é demitido pelo empregador, antes do término do contrato de trabalho logo a provisão representa: ((1/12)x 0,005) x 100 =0,04 %.</t>
  </si>
  <si>
    <t>AVISO PRÉVIO INDENIZADO (Justificativa ao lado)</t>
  </si>
  <si>
    <t>AVISO PRÉVIO TRABALHADO (Justificativa ao lado)</t>
  </si>
  <si>
    <t>(O art. 27 do Decreto nº 89.312/84 obriga o empregador a assumir o ônus financeiro pelo prazo de 15 dias, no caso de acidente de trabalho previsto no art. 131 da CLT. De acordo com estatísticas dessa empresa em média menos de  0,50% dos empregados se acidentam no trabalho no ano. Assim a provisão corresponde a: MEMÓRIA DE CÁLCULO:(15 ÷ 30 ÷ 12 x 0,05 x 100 = 0,02%): 0,02%</t>
  </si>
  <si>
    <t xml:space="preserve"> (Conforme arts. 6º e 7º, inciso XVIII, 201, inciso II e 203, inciso I da CF; Lei Ordinária Federal nº 8.123/91, arts. 71 a 73. A licença maternidade tem duração de 120 dias. O cálculo deve considerar 4/12 de adicional de 1/3 de férias e 4/12 de 13º salário da profissional substituta. De acordo com as estatísticas desta empresa  31,00% dos profissionais que trabalham como brigadistas são mulheres e que a média de 10% dessas brigadistas recebem o benefício Cálculo: ((1 ÷ 12 x 4) + (1,33 ÷ 12 x 4)) ÷ 12 x 0,31*10%) = 0,01%</t>
  </si>
  <si>
    <t>-</t>
  </si>
  <si>
    <t>Corresponde  ao  valor  repassado  para  pagar  ao  funcionário enquanto este não trabalha, pois ele percebe o salário referente a 30  dias  de  serviço,  dos  quais  07  (sete)  ele  tem  direito  a ausentar‐se   para   procurar   outro   emprego   ou,   se   preferir, trabalhar   duas   horas   a   menos   por   dia   durante   o   mês.   / [(100%/30) x 7]/ 12 = 1,94% Onde: 100% = salário integral / 30 = número de dias no mês / 7 = número de dias de aviso prévio a que  o  empregado  tem  direito  de  se  ausentar  /  12  =  número de meses no ano /Fonte: Acórdão TCU - Plenário nº 1513/2013, Acórdão  TCU  -  Plenário  nº  1904/2007,  e  Acórdão  TCU  – Plenário nº 3006/2010. Segundo o TCU esse percentual é o máximo a ser admitido para cotação nas planilhas de custos e formação de preços. Porém, em razão da CCT da Categoria, prever que os empregados terão direito a continuidade na contratação dos serviços, é quase nula a demissão dos empregados terceirizados nessa situação. Logo a provisão desta empresa passa a representar: [(100%/30) x 7]/ 12 = 1,94%*1% =  0,02 %.</t>
  </si>
  <si>
    <r>
      <rPr>
        <b/>
        <sz val="11"/>
        <color theme="1"/>
        <rFont val="Calibri"/>
        <family val="2"/>
        <scheme val="minor"/>
      </rPr>
      <t xml:space="preserve">JUSTIFICATIVA: SOBRE O AVISO PRÉVIO INDENIZADO: </t>
    </r>
    <r>
      <rPr>
        <sz val="11"/>
        <color theme="1"/>
        <rFont val="Calibri"/>
        <family val="2"/>
        <scheme val="minor"/>
      </rPr>
      <t xml:space="preserve">Como descrito na justificativa apresentada por esta empresa, esse trata de valor devido ao empregado no caso de o empregador rescindir o contrato sem justo motivo e sem lhe conceder o prazo para o cumprimento do aviso prévio. 
Antes de mais nada, vale ressaltar que na atual conjuntura econômica de nosso País, o percentual de casos em que esta e qualquer outra empresa de qualquer ramo econômico ofereça a indenização de aviso prévio é quase nula, ocorrendo em casos extremamente raros, já que dispor de um salário integral, acrescidos das demais verbas trabalhistas sem a compensatória prestação de serviços, onera demais o passivo trabalhista de qualquer empresa, prejudicando assim a operacionalização dos serviços, bem como sua saúde financeira.
Além do mais, com o advindo da reforma trabalhista em 2017, pela Lei 13.467/2017, se regularizou uma prática já corriqueira entre empregado e empregador, onde ambos estabeleciam um acordo para dispensa do empregado, já que o empregado queria sair da empresa mas não queria perder direitos, a reforma veio com objetivo de diminuir o valor das verbas trabalhistas e assim possibilitar a dispensa já que existia interesse recíproco.
O artigo 484-A dispõe que “o contrato de trabalho poderá ser extinto por acordo entre empregado e empregador (…)”.
Tendo em vista a nova previsão no diploma trabalhista, o aviso prévio se indenizado será pago pela metade e a indenização sobre o saldo do FGTS de 20%, sendo limitado a 80% do valor do depósito (artigo 484-A, § 1º da CLT) as demais verbas serão pagas da mesma forma como anterior a nova Lei, indenização fundiária, o saldo de salário (valor devido pelos dias trabalhados no mês da dispensa); o 13º salário proporcional aos meses trabalhados no respectivo ano; e férias vencidas e/ou proporcionais acrescidas do terço constitucional. Não sendo permitido o recebimento do seguro desemprego. (Artigo 484-A, § 2º da CLT).
Ou seja, além de ser remota a dispensa do empregado a fim de pagamento do aviso prévio indenizado, a Nova Lei Trabalhista ainda prevê que tal prática seja de comum acordo entre o emprego e empregador, razão pela qual, </t>
    </r>
    <r>
      <rPr>
        <b/>
        <u/>
        <sz val="11"/>
        <color rgb="FFFF0000"/>
        <rFont val="Calibri"/>
        <family val="2"/>
        <scheme val="minor"/>
      </rPr>
      <t>a provisão de 0,50% dos empregados nessa situação ser suficiente para cumprir com o exigido no edital de licitação.</t>
    </r>
    <r>
      <rPr>
        <sz val="11"/>
        <color theme="1"/>
        <rFont val="Calibri"/>
        <family val="2"/>
        <scheme val="minor"/>
      </rPr>
      <t xml:space="preserve">
                                                                                                                                                                                                                                                                                                                                                                SOBRE O AVISO PRÉVIO TRABALHADO: Como descrito na justificativa, a CCT da Categoria prevê em sua Cláusula Vigésima Nona o seguinte:
</t>
    </r>
    <r>
      <rPr>
        <b/>
        <u/>
        <sz val="11"/>
        <color rgb="FF002060"/>
        <rFont val="Calibri"/>
        <family val="2"/>
        <scheme val="minor"/>
      </rPr>
      <t>“CLÁUSULA TRIGÉSIMA SEXTA - INCENTIVO À CONTINUIDADE</t>
    </r>
    <r>
      <rPr>
        <sz val="11"/>
        <color theme="1"/>
        <rFont val="Calibri"/>
        <family val="2"/>
        <scheme val="minor"/>
      </rPr>
      <t xml:space="preserve">
Fica pactuado que as empresas que sucederem outras na prestação do mesmo serviço, em razão de nova licitação pública ou novo contrato administrativo ou particular e/ou contrato emergencial, ficarão obrigadas a contratar os empregados da empresa anterior, respeitando todas as estabilidades legais, inclusive as gestantes; membros de CIPA; e todos os demais funcionários, inclusive Bombeiro Civil Lider, que na data do desligamento possua qualquer tipo de estabilidade legal e/ou funcional, sem descontinuidade quanto ao pagamento dos salários e a prestação dos serviços, limitado ao quantitativo de empregados do novo contrato, obrigando as empresas que perderem o contrato a comunicar o fato ao sindicato laboral, inclusive por correspondência eletrônica, até 20 (vinte) dias antes do final do mesmo.
..................
IV) A empresa que está perdendo o contrato de prestação de serviços fica desobrigada do pagamento do aviso prévio e suas respectivas projeções, conforme previsto no artigo 12º da Lei 13.932/19 obrigando-se, entretanto, a pagar as demais verbas rescisórias, sendo que a multa fundiária (art. 9º Decreto nº 99.684/90), será calculada no percentual de 40% do FGTS devido ao empregado.” 
Sendo assim, caso esta empresa venha a perder o contrato futuramente, outra empresa passará a ser sucessora dos serviços e estará obrigada a contratar todos os empregados lotados na frente de serviços, sendo que esta não será obrigada a pagar o aviso prévio trabalhado, conforme descrito na Cláusula da CCT acima, </t>
    </r>
    <r>
      <rPr>
        <b/>
        <u/>
        <sz val="11"/>
        <color rgb="FFFF0000"/>
        <rFont val="Calibri"/>
        <family val="2"/>
        <scheme val="minor"/>
      </rPr>
      <t>razão pela qual, a previsão de 1% para esse custo é mais do que suficiente para cumprir com o exigido no edital em referência.</t>
    </r>
    <r>
      <rPr>
        <sz val="11"/>
        <color theme="1"/>
        <rFont val="Calibri"/>
        <family val="2"/>
        <scheme val="minor"/>
      </rPr>
      <t xml:space="preserve">
</t>
    </r>
  </si>
  <si>
    <t>Multa do FGTS nas rescisões sem justa causa (4% - 0,02% de multa sobre o Aviso Prévio Indenizado) = 3,98%</t>
  </si>
  <si>
    <t>Art.   473   da   CLT   descreve   as   motivações   de   faltas   de empregados   ao   serviço   sem   que   haja   prejuízo   do   salário correspondente. São eles: por morte do cônjuge, ascendente ou descendente;   registro   de   nascimento   de   filho;     casamento; doação  de  sangue;  alistamento  eleitoral;   exigência  do  serviço militar.   Arts.   473,   I   a   IX,   e   822   da   CLT.   O   cálculo   do determinado  item  deverá  levar  em  consideração  a  Base  de Cálculo  para  o  Custo  de  Reposição  do  Profissional  Ausente (BCCPA = Remuneração + 13° Salário + Férias + 1/3 Férias). O cálculo seria: ((BCCPA/30)*1 DIA)/12.</t>
  </si>
  <si>
    <t>Art. 7°, XIX, da CF, combinado com o art. 10, § 1º, dos Atos das  Disposições  Constitucionais  Transitórias  (ADCT).  Quanto ao  cálculo,  utilizam-se  os  dados  estatísticos  de  1,5%  que  se tornam   pais.   [(5/30)   /   12   x   0,015]   x   100.   O   cálculo   do determinado  item  deverá  levar  em  consideração  a  Base  de Cálculo  para  o  Custo  de  Reposição  do  Profissional  Ausente (BCCPA = Remuneração + 13° Salário + Férias + 1/3 Férias). Cálculo: (((BCCPA/30)*5DIAS)/12)</t>
  </si>
  <si>
    <r>
      <rPr>
        <u/>
        <sz val="9.5"/>
        <rFont val="Calibri"/>
        <family val="2"/>
        <scheme val="minor"/>
      </rPr>
      <t>Metodolo</t>
    </r>
    <r>
      <rPr>
        <sz val="9.5"/>
        <rFont val="Calibri"/>
        <family val="2"/>
        <scheme val="minor"/>
      </rPr>
      <t>g</t>
    </r>
    <r>
      <rPr>
        <u/>
        <sz val="9.5"/>
        <rFont val="Calibri"/>
        <family val="2"/>
        <scheme val="minor"/>
      </rPr>
      <t>ia de Cálculo</t>
    </r>
    <r>
      <rPr>
        <sz val="9.5"/>
        <rFont val="Calibri"/>
        <family val="2"/>
        <scheme val="minor"/>
      </rPr>
      <t xml:space="preserve">:
</t>
    </r>
    <r>
      <rPr>
        <b/>
        <sz val="9.5"/>
        <rFont val="Calibri"/>
        <family val="2"/>
        <scheme val="minor"/>
      </rPr>
      <t xml:space="preserve">(Valor do Seguro de Vida) – (Desconto da parte do empregado)                                                                                                                                                                                                            </t>
    </r>
    <r>
      <rPr>
        <b/>
        <sz val="9.5"/>
        <color rgb="FFFF0000"/>
        <rFont val="Calibri"/>
        <family val="2"/>
        <scheme val="minor"/>
      </rPr>
      <t>(R$ 12,14) – (R$ 0,00) = R$ 12,14</t>
    </r>
  </si>
  <si>
    <r>
      <rPr>
        <b/>
        <sz val="9.5"/>
        <rFont val="Calibri"/>
        <family val="2"/>
        <scheme val="minor"/>
      </rPr>
      <t xml:space="preserve">
</t>
    </r>
    <r>
      <rPr>
        <sz val="9.5"/>
        <rFont val="Calibri"/>
        <family val="2"/>
        <scheme val="minor"/>
      </rPr>
      <t>A) Salário Base:</t>
    </r>
    <r>
      <rPr>
        <b/>
        <sz val="9.5"/>
        <rFont val="Calibri"/>
        <family val="2"/>
        <scheme val="minor"/>
      </rPr>
      <t xml:space="preserve"> </t>
    </r>
    <r>
      <rPr>
        <b/>
        <sz val="9.5"/>
        <color rgb="FFFF0000"/>
        <rFont val="Calibri"/>
        <family val="2"/>
        <scheme val="minor"/>
      </rPr>
      <t>R$ 3.494,54 (Três mil, quatrocentos e noventa e quatro reais e cinquenta e quatro centavos).</t>
    </r>
    <r>
      <rPr>
        <b/>
        <sz val="9.5"/>
        <rFont val="Calibri"/>
        <family val="2"/>
        <scheme val="minor"/>
      </rPr>
      <t xml:space="preserve">
</t>
    </r>
    <r>
      <rPr>
        <sz val="9.5"/>
        <rFont val="Calibri"/>
        <family val="2"/>
        <scheme val="minor"/>
      </rPr>
      <t xml:space="preserve">Os  valores  dos  salários  da  categoria  envolvida  na  prestação  dos  serviços  ora  licitados  estão  definidos  na CCT da Categoria, firmado entre o SEAC-DF e o SINDIBOMBEIROS-DF
</t>
    </r>
  </si>
  <si>
    <r>
      <t xml:space="preserve">B) Adicional de Periculosidade – 30% do salário base:  </t>
    </r>
    <r>
      <rPr>
        <b/>
        <sz val="10"/>
        <color rgb="FFFF0000"/>
        <rFont val="Calibri"/>
        <family val="2"/>
        <scheme val="minor"/>
      </rPr>
      <t>R$ 1.048,36</t>
    </r>
  </si>
  <si>
    <t>(R$ 5,50) * (2 vales) * (13 dias) – (6% * R$ 3.494,54)</t>
  </si>
  <si>
    <t>TOTAL LÍQUIDO DO VALE TRANSPORTE (Desvantajoso para o empregado)</t>
  </si>
  <si>
    <t>Total conta vinculada</t>
  </si>
  <si>
    <t>CIDADE/UF: TAGUATINGA- BRASÍLIA - DF</t>
  </si>
  <si>
    <r>
      <t xml:space="preserve">Férias: ( 1 salário /12 meses) = </t>
    </r>
    <r>
      <rPr>
        <b/>
        <sz val="9.5"/>
        <color rgb="FFFF0000"/>
        <rFont val="Calibri"/>
        <family val="2"/>
        <scheme val="minor"/>
      </rPr>
      <t xml:space="preserve">8,33%      </t>
    </r>
    <r>
      <rPr>
        <sz val="9.5"/>
        <rFont val="Calibri"/>
        <family val="2"/>
        <scheme val="minor"/>
      </rPr>
      <t xml:space="preserve">                                                                                                                                                                                                                                                                                                       Adicional    de    Férias:    em    percentual    da    remuneração: [(1/3)/12]*100 = </t>
    </r>
    <r>
      <rPr>
        <b/>
        <sz val="9.5"/>
        <color rgb="FFFF0000"/>
        <rFont val="Calibri"/>
        <family val="2"/>
        <scheme val="minor"/>
      </rPr>
      <t xml:space="preserve">2,78% </t>
    </r>
    <r>
      <rPr>
        <sz val="9.5"/>
        <rFont val="Calibri"/>
        <family val="2"/>
        <scheme val="minor"/>
      </rPr>
      <t xml:space="preserve">                                                                                                                                                                                                                </t>
    </r>
    <r>
      <rPr>
        <b/>
        <sz val="9.5"/>
        <color rgb="FFFF0000"/>
        <rFont val="Calibri"/>
        <family val="2"/>
        <scheme val="minor"/>
      </rPr>
      <t>8,33% + 2,78% = 11,11%</t>
    </r>
  </si>
  <si>
    <t>C) Tributos: 8,65%, sendo 3% de Cofins, 0,65% de Pis e 5% de ISS</t>
  </si>
  <si>
    <r>
      <t>TRIBUTOS - EMPRESA OPTANTE PELO LUCRO REAL:
D</t>
    </r>
    <r>
      <rPr>
        <sz val="9.5"/>
        <rFont val="Calibri"/>
        <family val="2"/>
        <scheme val="minor"/>
      </rPr>
      <t>eclara, para os devidos fins, de acordo com o previsto no item 6.1.1.7, que será adotado durante a execução do contrato, o Regime de Tributação pelo Lucro Real.
Declaro ainda, que as empresas de vigilância regulamentadas pela Lei 7.102/83 permaneceram com as alíquotas de 0,65% para PIS e 3,00% para COFINS, independentemente de serem optantes pelo Lucro Real ou Presumido, não sendo possível o aproveitamento de créditos tributários nesse caso, conforme dispositivo de Lei descrito abaixo:
Lei 10.637/2002
Art. 8º. Permanecem sujeitas às normas da legislação da contribuição para o PIS/Pasep, vigentes anteriormente a esta Lei, não se lhes aplicando as disposições dos arts. 1º. a 6º.:
I – as pessoas jurídicas referidas nos §§ 6º., 8º. e 9º. do art. 3º. da Lei no 9.718, de 27 de novembro de 1998 (parágrafos introduzidos pela Medida Provisória no. 2.158-35, de 24 de agosto de 2001), e Lei no. 7.102, de 20 de junho de 1983;
Lei 10.833/03
Art. 10. Permanecem sujeitas às normas da legislação da COFINS, vigentes anteriormente a esta Lei, não se lhes aplicando as disposições dos arts. 1º. a 8º.:
I - as pessoas jurídicas referidas nos §§ 6º., 8º. e 9º. do art. 3º. da Lei no 9.718, de 1998, e na Lei N.  7.102, de 20 de junho de 1983;
Segue em anexo a Planilha de apuração do percentual médio de PIS e COFINS dos últimos 12 (doze) meses para fins de comprovação das alíquotas recolhidas por esta empresa, bem como os documentos ficais encaminhados à Receita Fe</t>
    </r>
    <r>
      <rPr>
        <b/>
        <sz val="9.5"/>
        <rFont val="Calibri"/>
        <family val="2"/>
        <scheme val="minor"/>
      </rPr>
      <t>deral.</t>
    </r>
  </si>
  <si>
    <t xml:space="preserve">    A - Substituto </t>
  </si>
  <si>
    <t>SUBSTITUTO NA COBERTURA
DE OUTRAS AUSÊNCIAS (Substituto aos Domingos)</t>
  </si>
  <si>
    <t>referente a estes custos sem a previsão de Hora Extraordinária. Como a Legislação que rege a função de Brigadista Particular, permite que o empregado trabalhe somente 36hs por semana fica descartada qualquer hipótese de previsão de hora extraordinária, desta forma a esta empresa fez a previsão desse custo levando em consideração a seguinte justificativa e  memória de cálculos:                                                                                                                                                                                                                                                                                   Quem irá prestar serviços no domingo é um plantonista da empresa, pertencente ao seu quadro de reserva, sendo que o custo utilizado para esse cálculo será o valor da diária do Brigadista previsto na CCT da Categoria já incluídos o valor do Vale-Transporte e Vale Alimentação, sendo assim, o valor da diária por Brigadista terá a seguinte memória de cálculos:
R$ 225,00 x 2 = R$ 450,00 por Brigada e R$ 900,00 por posto.</t>
  </si>
  <si>
    <t xml:space="preserve">    4.2 - Substituto </t>
  </si>
  <si>
    <t>PREGÃO ELETRÔNICO Nº 78/2023</t>
  </si>
  <si>
    <t>19h às 7h</t>
  </si>
  <si>
    <t>CUSTO MENSAL</t>
  </si>
  <si>
    <t>Colar cervical regulável para imobilização da medula espinhal, com suporte para cabeça, regulável dos tamanhos PP, P, M, G e G ou 2 de cada. Composição: Laminado 100% policloreto de vinila; alha 100% algodão; espuma interna: 100% poliuretano; revestimento: 100% poliamida</t>
  </si>
  <si>
    <t>FOLGUISTA</t>
  </si>
  <si>
    <t xml:space="preserve">   Subtotal</t>
  </si>
  <si>
    <t xml:space="preserve">   Total Mensal</t>
  </si>
  <si>
    <t>FOLGUISTA NOTURNO</t>
  </si>
  <si>
    <t xml:space="preserve">    B - Adicional Noturno</t>
  </si>
  <si>
    <t>Roupeiro de aço, duas portas grandes, com pintura antiferrugem, com um compartimento para cada funcionário, com fechadura a chave ou pitão para cadeado</t>
  </si>
  <si>
    <t>CUSTO MENSAL  POR BRIGADISTA</t>
  </si>
  <si>
    <t>Folguistas</t>
  </si>
  <si>
    <t xml:space="preserve">    F - Substituto na cobertura de Outras ausências </t>
  </si>
  <si>
    <t xml:space="preserve">    F - Substituto na cobertura de Outras ausências</t>
  </si>
  <si>
    <t>CUSTO MENSAL  POR POSTO (custo mensal *6 edifícios / 28 brigadistas)</t>
  </si>
  <si>
    <t>CUSTO MENSAL  POR POSTO (custo mensal * 6 edifícios / 28 brigadistas)</t>
  </si>
  <si>
    <t>CUSTO MENSAL  POR POSTO (custo mensal * 6 edifícios / 14 postos)</t>
  </si>
  <si>
    <t>Brasília - DF, 20 de novembro de 2.023.</t>
  </si>
  <si>
    <t>(Três milhões, quinhentos e dezessete mil, quinhentos e vinte e dois reais e vinte e dois centavos).</t>
  </si>
  <si>
    <r>
      <t>1)</t>
    </r>
    <r>
      <rPr>
        <sz val="12"/>
        <rFont val="Arial Narrow"/>
        <family val="2"/>
      </rPr>
      <t xml:space="preserve"> No preço proposto estão inclusos todos os custos operacionais, encargos previdenciários, trabalhistas, tributários, comerciais e quaisquer outros que incidam direta ou indiretamente na execução do objeto.</t>
    </r>
  </si>
  <si>
    <t>Folguistas Diurnos</t>
  </si>
  <si>
    <t>Folguistas Noturnos</t>
  </si>
  <si>
    <t>INÍCIO IMEDIATO</t>
  </si>
  <si>
    <t>TOTAL DA CONTRATAÇÃO</t>
  </si>
  <si>
    <t>INÍCIO APÓS O TÉRMINO DO CONTRATO EM VIGOR</t>
  </si>
  <si>
    <t>Serviços Executados de 01/02/2024 a 29/02/2024</t>
  </si>
  <si>
    <t>Repactuação 2024</t>
  </si>
  <si>
    <t>MÊS</t>
  </si>
  <si>
    <t>VALOR FATURADO</t>
  </si>
  <si>
    <t>VALOR REPACTUADO</t>
  </si>
  <si>
    <t>DIFERENÇA</t>
  </si>
  <si>
    <t>DIFERENÇA DE REPACTUAÇÃO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</si>
</sst>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6" formatCode="&quot;R$&quot;\ #,##0;[Red]\-&quot;R$&quot;\ #,##0"/>
    <numFmt numFmtId="8" formatCode="&quot;R$&quot;\ #,##0.00;[Red]\-&quot;R$&quot;\ #,##0.00"/>
    <numFmt numFmtId="44" formatCode="_-&quot;R$&quot;\ * #,##0.00_-;\-&quot;R$&quot;\ * #,##0.00_-;_-&quot;R$&quot;\ * &quot;-&quot;??_-;_-@_-"/>
    <numFmt numFmtId="43" formatCode="_-* #,##0.00_-;\-* #,##0.00_-;_-* &quot;-&quot;??_-;_-@_-"/>
    <numFmt numFmtId="164" formatCode="_(* #,##0.00_);_(* \(#,##0.00\);_(* \-??_);_(@_)"/>
    <numFmt numFmtId="165" formatCode="_(* #,##0.00_);_(* \(#,##0.00\);_(* &quot;-&quot;??_);_(@_)"/>
    <numFmt numFmtId="166" formatCode="_(&quot;R$ &quot;* #,##0.00_);_(&quot;R$ &quot;* \(#,##0.00\);_(&quot;R$ &quot;* &quot;-&quot;??_);_(@_)"/>
    <numFmt numFmtId="167" formatCode="&quot;R$&quot;\ #,##0.00"/>
    <numFmt numFmtId="168" formatCode="&quot;R$ &quot;#,##0.00_);[Red]&quot;(R$ &quot;#,##0.00\)"/>
    <numFmt numFmtId="169" formatCode="0.000%"/>
    <numFmt numFmtId="170" formatCode="_([$€-2]* #,##0.00_);_([$€-2]* \(#,##0.00\);_([$€-2]* &quot;-&quot;??_)"/>
    <numFmt numFmtId="171" formatCode="0.0000000000000"/>
    <numFmt numFmtId="172" formatCode="0.0000"/>
  </numFmts>
  <fonts count="80" x14ac:knownFonts="1">
    <font>
      <sz val="11"/>
      <color theme="1"/>
      <name val="Calibri"/>
      <family val="2"/>
      <scheme val="minor"/>
    </font>
    <font>
      <sz val="11"/>
      <color theme="1"/>
      <name val="Calibri"/>
      <family val="2"/>
      <scheme val="minor"/>
    </font>
    <font>
      <sz val="10"/>
      <name val="Arial"/>
      <family val="2"/>
    </font>
    <font>
      <b/>
      <sz val="10"/>
      <name val="Verdana"/>
      <family val="2"/>
    </font>
    <font>
      <sz val="10"/>
      <name val="Verdana"/>
      <family val="2"/>
    </font>
    <font>
      <u/>
      <sz val="10"/>
      <color indexed="12"/>
      <name val="Arial"/>
      <family val="2"/>
    </font>
    <font>
      <sz val="12"/>
      <name val="Times New Roman"/>
      <family val="1"/>
    </font>
    <font>
      <b/>
      <sz val="12"/>
      <name val="Verdana"/>
      <family val="2"/>
    </font>
    <font>
      <sz val="12"/>
      <name val="Arial"/>
      <family val="2"/>
    </font>
    <font>
      <b/>
      <sz val="9"/>
      <name val="Verdana"/>
      <family val="2"/>
    </font>
    <font>
      <b/>
      <sz val="10"/>
      <name val="Arial"/>
      <family val="2"/>
    </font>
    <font>
      <sz val="10"/>
      <name val="Arial"/>
      <family val="2"/>
    </font>
    <font>
      <u/>
      <sz val="11"/>
      <color theme="10"/>
      <name val="Calibri"/>
      <family val="2"/>
    </font>
    <font>
      <sz val="11"/>
      <color indexed="8"/>
      <name val="Calibri"/>
      <family val="2"/>
    </font>
    <font>
      <b/>
      <sz val="18"/>
      <color indexed="56"/>
      <name val="Cambria"/>
      <family val="2"/>
    </font>
    <font>
      <b/>
      <sz val="15"/>
      <color indexed="56"/>
      <name val="Calibri"/>
      <family val="2"/>
    </font>
    <font>
      <b/>
      <sz val="12"/>
      <name val="Arial Narrow"/>
      <family val="2"/>
    </font>
    <font>
      <sz val="12"/>
      <name val="Times New Roman"/>
      <family val="1"/>
    </font>
    <font>
      <b/>
      <sz val="11"/>
      <color theme="1"/>
      <name val="Calibri"/>
      <family val="2"/>
      <scheme val="minor"/>
    </font>
    <font>
      <sz val="9"/>
      <name val="Arial"/>
      <family val="2"/>
    </font>
    <font>
      <b/>
      <sz val="11"/>
      <name val="Arial"/>
      <family val="2"/>
    </font>
    <font>
      <b/>
      <sz val="14"/>
      <name val="Arial"/>
      <family val="2"/>
    </font>
    <font>
      <b/>
      <sz val="9"/>
      <name val="Arial"/>
      <family val="2"/>
    </font>
    <font>
      <sz val="7"/>
      <color theme="1"/>
      <name val="Verdana"/>
      <family val="2"/>
    </font>
    <font>
      <b/>
      <sz val="10"/>
      <color indexed="20"/>
      <name val="Verdana"/>
      <family val="2"/>
    </font>
    <font>
      <sz val="10"/>
      <color indexed="10"/>
      <name val="Verdana"/>
      <family val="2"/>
    </font>
    <font>
      <sz val="10"/>
      <color indexed="57"/>
      <name val="Verdana"/>
      <family val="2"/>
    </font>
    <font>
      <b/>
      <sz val="10"/>
      <color indexed="57"/>
      <name val="Verdana"/>
      <family val="2"/>
    </font>
    <font>
      <sz val="10"/>
      <color indexed="18"/>
      <name val="Verdana"/>
      <family val="2"/>
    </font>
    <font>
      <sz val="10"/>
      <color indexed="8"/>
      <name val="Verdana"/>
      <family val="2"/>
    </font>
    <font>
      <b/>
      <sz val="12"/>
      <color theme="4" tint="-0.499984740745262"/>
      <name val="Verdana"/>
      <family val="2"/>
    </font>
    <font>
      <b/>
      <sz val="10"/>
      <color indexed="8"/>
      <name val="Arial"/>
      <family val="2"/>
    </font>
    <font>
      <b/>
      <sz val="9"/>
      <color indexed="8"/>
      <name val="Arial"/>
      <family val="2"/>
    </font>
    <font>
      <sz val="7"/>
      <color indexed="8"/>
      <name val="Arial"/>
      <family val="2"/>
    </font>
    <font>
      <sz val="10"/>
      <color indexed="8"/>
      <name val="Arial"/>
      <family val="2"/>
    </font>
    <font>
      <sz val="7"/>
      <name val="Arial"/>
      <family val="2"/>
    </font>
    <font>
      <sz val="11"/>
      <name val="Calibri"/>
      <family val="2"/>
      <scheme val="minor"/>
    </font>
    <font>
      <b/>
      <sz val="9"/>
      <color indexed="10"/>
      <name val="Arial"/>
      <family val="2"/>
    </font>
    <font>
      <sz val="9"/>
      <color rgb="FFC00000"/>
      <name val="Arial"/>
      <family val="2"/>
    </font>
    <font>
      <b/>
      <sz val="10"/>
      <color indexed="18"/>
      <name val="Verdana"/>
      <family val="2"/>
    </font>
    <font>
      <sz val="10"/>
      <color theme="0" tint="-0.14999847407452621"/>
      <name val="Verdana"/>
      <family val="2"/>
    </font>
    <font>
      <b/>
      <i/>
      <sz val="9"/>
      <name val="Arial"/>
      <family val="2"/>
    </font>
    <font>
      <sz val="10"/>
      <color rgb="FF000000"/>
      <name val="Times New Roman"/>
      <family val="1"/>
    </font>
    <font>
      <sz val="10"/>
      <color rgb="FF000000"/>
      <name val="Times New Roman"/>
      <family val="1"/>
    </font>
    <font>
      <b/>
      <sz val="11"/>
      <name val="Calibri"/>
      <family val="2"/>
      <scheme val="minor"/>
    </font>
    <font>
      <b/>
      <sz val="10"/>
      <color rgb="FF000000"/>
      <name val="Calibri"/>
      <family val="2"/>
      <scheme val="minor"/>
    </font>
    <font>
      <sz val="10"/>
      <color rgb="FF000000"/>
      <name val="Calibri"/>
      <family val="2"/>
      <scheme val="minor"/>
    </font>
    <font>
      <b/>
      <sz val="9.5"/>
      <name val="Calibri"/>
      <family val="2"/>
      <scheme val="minor"/>
    </font>
    <font>
      <sz val="9.5"/>
      <name val="Calibri"/>
      <family val="2"/>
      <scheme val="minor"/>
    </font>
    <font>
      <u/>
      <sz val="9.5"/>
      <name val="Calibri"/>
      <family val="2"/>
      <scheme val="minor"/>
    </font>
    <font>
      <sz val="9.5"/>
      <color rgb="FF000000"/>
      <name val="Calibri"/>
      <family val="2"/>
      <scheme val="minor"/>
    </font>
    <font>
      <u/>
      <sz val="9.5"/>
      <color rgb="FF0000ED"/>
      <name val="Calibri"/>
      <family val="2"/>
      <scheme val="minor"/>
    </font>
    <font>
      <sz val="9.5"/>
      <color rgb="FF0000ED"/>
      <name val="Calibri"/>
      <family val="2"/>
      <scheme val="minor"/>
    </font>
    <font>
      <b/>
      <i/>
      <sz val="9.5"/>
      <color rgb="FFFF0000"/>
      <name val="Calibri"/>
      <family val="2"/>
      <scheme val="minor"/>
    </font>
    <font>
      <b/>
      <sz val="9.5"/>
      <color rgb="FF000000"/>
      <name val="Calibri"/>
      <family val="2"/>
      <scheme val="minor"/>
    </font>
    <font>
      <b/>
      <sz val="10"/>
      <name val="Calibri"/>
      <family val="2"/>
      <scheme val="minor"/>
    </font>
    <font>
      <sz val="10"/>
      <color theme="1"/>
      <name val="Calibri"/>
      <family val="2"/>
      <scheme val="minor"/>
    </font>
    <font>
      <b/>
      <sz val="8.5"/>
      <name val="Calibri"/>
      <family val="2"/>
      <scheme val="minor"/>
    </font>
    <font>
      <b/>
      <u/>
      <sz val="9.5"/>
      <name val="Calibri"/>
      <family val="2"/>
      <scheme val="minor"/>
    </font>
    <font>
      <sz val="9.5"/>
      <color theme="1"/>
      <name val="Calibri"/>
      <family val="2"/>
      <scheme val="minor"/>
    </font>
    <font>
      <sz val="8"/>
      <name val="Verdana"/>
      <family val="2"/>
    </font>
    <font>
      <b/>
      <sz val="8"/>
      <name val="Verdana"/>
      <family val="2"/>
    </font>
    <font>
      <b/>
      <sz val="6"/>
      <name val="Verdana"/>
      <family val="2"/>
    </font>
    <font>
      <sz val="7"/>
      <name val="Verdana"/>
      <family val="2"/>
    </font>
    <font>
      <b/>
      <i/>
      <sz val="11"/>
      <color rgb="FFFF0000"/>
      <name val="Calibri"/>
      <family val="2"/>
      <scheme val="minor"/>
    </font>
    <font>
      <b/>
      <sz val="16"/>
      <name val="Arial Narrow"/>
      <family val="2"/>
    </font>
    <font>
      <sz val="12"/>
      <name val="Arial Narrow"/>
      <family val="2"/>
    </font>
    <font>
      <sz val="18"/>
      <color rgb="FF002060"/>
      <name val="Aharoni"/>
    </font>
    <font>
      <b/>
      <i/>
      <sz val="12"/>
      <name val="Arial Narrow"/>
      <family val="2"/>
    </font>
    <font>
      <i/>
      <sz val="12"/>
      <name val="Arial"/>
      <family val="2"/>
    </font>
    <font>
      <b/>
      <i/>
      <sz val="14"/>
      <name val="Arial Narrow"/>
      <family val="2"/>
    </font>
    <font>
      <b/>
      <i/>
      <sz val="10"/>
      <name val="Arial Narrow"/>
      <family val="2"/>
    </font>
    <font>
      <i/>
      <sz val="10"/>
      <name val="Arial"/>
      <family val="2"/>
    </font>
    <font>
      <sz val="11"/>
      <name val="Arial"/>
      <family val="2"/>
    </font>
    <font>
      <b/>
      <sz val="7"/>
      <name val="Verdana"/>
      <family val="2"/>
    </font>
    <font>
      <b/>
      <u/>
      <sz val="11"/>
      <color rgb="FFFF0000"/>
      <name val="Calibri"/>
      <family val="2"/>
      <scheme val="minor"/>
    </font>
    <font>
      <b/>
      <u/>
      <sz val="11"/>
      <color rgb="FF002060"/>
      <name val="Calibri"/>
      <family val="2"/>
      <scheme val="minor"/>
    </font>
    <font>
      <b/>
      <sz val="9.5"/>
      <color rgb="FFFF0000"/>
      <name val="Calibri"/>
      <family val="2"/>
      <scheme val="minor"/>
    </font>
    <font>
      <b/>
      <sz val="10"/>
      <color rgb="FFFF0000"/>
      <name val="Calibri"/>
      <family val="2"/>
      <scheme val="minor"/>
    </font>
    <font>
      <b/>
      <sz val="18"/>
      <name val="Arial"/>
      <family val="2"/>
    </font>
  </fonts>
  <fills count="19">
    <fill>
      <patternFill patternType="none"/>
    </fill>
    <fill>
      <patternFill patternType="gray125"/>
    </fill>
    <fill>
      <patternFill patternType="solid">
        <fgColor theme="0"/>
        <bgColor indexed="64"/>
      </patternFill>
    </fill>
    <fill>
      <patternFill patternType="solid">
        <fgColor indexed="51"/>
        <bgColor indexed="13"/>
      </patternFill>
    </fill>
    <fill>
      <patternFill patternType="solid">
        <fgColor indexed="9"/>
        <bgColor indexed="26"/>
      </patternFill>
    </fill>
    <fill>
      <patternFill patternType="solid">
        <fgColor indexed="44"/>
        <bgColor indexed="31"/>
      </patternFill>
    </fill>
    <fill>
      <patternFill patternType="solid">
        <fgColor indexed="22"/>
        <bgColor indexed="31"/>
      </patternFill>
    </fill>
    <fill>
      <patternFill patternType="solid">
        <fgColor indexed="42"/>
        <bgColor indexed="27"/>
      </patternFill>
    </fill>
    <fill>
      <patternFill patternType="solid">
        <fgColor indexed="43"/>
        <bgColor indexed="26"/>
      </patternFill>
    </fill>
    <fill>
      <patternFill patternType="solid">
        <fgColor theme="0"/>
        <bgColor indexed="31"/>
      </patternFill>
    </fill>
    <fill>
      <patternFill patternType="solid">
        <fgColor theme="0" tint="-0.249977111117893"/>
        <bgColor indexed="26"/>
      </patternFill>
    </fill>
    <fill>
      <patternFill patternType="solid">
        <fgColor theme="0"/>
        <bgColor indexed="26"/>
      </patternFill>
    </fill>
    <fill>
      <patternFill patternType="solid">
        <fgColor rgb="FFFFC000"/>
        <bgColor indexed="64"/>
      </patternFill>
    </fill>
    <fill>
      <patternFill patternType="solid">
        <fgColor theme="3" tint="0.59999389629810485"/>
        <bgColor indexed="64"/>
      </patternFill>
    </fill>
    <fill>
      <patternFill patternType="solid">
        <fgColor rgb="FFFFFF00"/>
        <bgColor indexed="64"/>
      </patternFill>
    </fill>
    <fill>
      <patternFill patternType="solid">
        <fgColor indexed="47"/>
        <bgColor indexed="22"/>
      </patternFill>
    </fill>
    <fill>
      <patternFill patternType="solid">
        <fgColor theme="0"/>
        <bgColor indexed="22"/>
      </patternFill>
    </fill>
    <fill>
      <patternFill patternType="solid">
        <fgColor rgb="FFFFFF00"/>
        <bgColor indexed="26"/>
      </patternFill>
    </fill>
    <fill>
      <patternFill patternType="solid">
        <fgColor theme="0" tint="-0.14999847407452621"/>
        <bgColor indexed="64"/>
      </patternFill>
    </fill>
  </fills>
  <borders count="3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8"/>
      </left>
      <right style="medium">
        <color indexed="8"/>
      </right>
      <top/>
      <bottom/>
      <diagonal/>
    </border>
    <border>
      <left/>
      <right/>
      <top/>
      <bottom style="thick">
        <color indexed="62"/>
      </bottom>
      <diagonal/>
    </border>
    <border>
      <left style="medium">
        <color indexed="64"/>
      </left>
      <right/>
      <top style="medium">
        <color indexed="64"/>
      </top>
      <bottom style="medium">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2B2B2B"/>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rgb="FF2B2B2B"/>
      </left>
      <right style="thin">
        <color rgb="FF2B2B2B"/>
      </right>
      <top/>
      <bottom style="thin">
        <color rgb="FF2B2B2B"/>
      </bottom>
      <diagonal/>
    </border>
    <border>
      <left/>
      <right style="thin">
        <color rgb="FF2B2B2B"/>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right/>
      <top/>
      <bottom style="thin">
        <color indexed="8"/>
      </bottom>
      <diagonal/>
    </border>
    <border>
      <left style="thin">
        <color rgb="FF2B2B2B"/>
      </left>
      <right style="thin">
        <color rgb="FF2B2B2B"/>
      </right>
      <top/>
      <bottom/>
      <diagonal/>
    </border>
    <border>
      <left style="thin">
        <color indexed="64"/>
      </left>
      <right style="thin">
        <color indexed="64"/>
      </right>
      <top style="thin">
        <color rgb="FF2B2B2B"/>
      </top>
      <bottom style="thin">
        <color indexed="64"/>
      </bottom>
      <diagonal/>
    </border>
  </borders>
  <cellStyleXfs count="95">
    <xf numFmtId="0" fontId="0" fillId="0" borderId="0"/>
    <xf numFmtId="0" fontId="2" fillId="0" borderId="0"/>
    <xf numFmtId="164" fontId="2" fillId="0" borderId="0" applyFill="0" applyBorder="0" applyAlignment="0" applyProtection="0"/>
    <xf numFmtId="166" fontId="2" fillId="0" borderId="0" applyFont="0" applyFill="0" applyBorder="0" applyAlignment="0" applyProtection="0"/>
    <xf numFmtId="0" fontId="5" fillId="0" borderId="0" applyNumberFormat="0" applyFill="0" applyBorder="0" applyAlignment="0" applyProtection="0">
      <alignment vertical="top"/>
      <protection locked="0"/>
    </xf>
    <xf numFmtId="166" fontId="2" fillId="0" borderId="0" applyFont="0" applyFill="0" applyBorder="0" applyAlignment="0" applyProtection="0"/>
    <xf numFmtId="166" fontId="2" fillId="0" borderId="0" applyFont="0" applyFill="0" applyBorder="0" applyAlignment="0" applyProtection="0"/>
    <xf numFmtId="6" fontId="2" fillId="0" borderId="0" applyFont="0" applyFill="0" applyBorder="0" applyAlignment="0" applyProtection="0"/>
    <xf numFmtId="0" fontId="2" fillId="0" borderId="0"/>
    <xf numFmtId="0" fontId="1" fillId="0" borderId="0"/>
    <xf numFmtId="0" fontId="6" fillId="0" borderId="0"/>
    <xf numFmtId="0" fontId="1" fillId="0" borderId="0"/>
    <xf numFmtId="9" fontId="2" fillId="0" borderId="0" applyFont="0" applyFill="0" applyBorder="0" applyAlignment="0" applyProtection="0"/>
    <xf numFmtId="9" fontId="1"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165" fontId="1" fillId="0" borderId="0" applyFont="0" applyFill="0" applyBorder="0" applyAlignment="0" applyProtection="0"/>
    <xf numFmtId="9" fontId="2" fillId="0" borderId="0" applyFill="0" applyBorder="0" applyAlignment="0" applyProtection="0"/>
    <xf numFmtId="0" fontId="11" fillId="0" borderId="0"/>
    <xf numFmtId="9" fontId="11" fillId="0" borderId="0" applyFont="0" applyFill="0" applyBorder="0" applyAlignment="0" applyProtection="0"/>
    <xf numFmtId="170" fontId="2" fillId="0" borderId="0" applyFont="0" applyFill="0" applyBorder="0" applyAlignment="0" applyProtection="0"/>
    <xf numFmtId="0" fontId="5"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166" fontId="2" fillId="0" borderId="0" applyFont="0" applyFill="0" applyBorder="0" applyAlignment="0" applyProtection="0"/>
    <xf numFmtId="0" fontId="2" fillId="0" borderId="0" applyFont="0" applyFill="0" applyBorder="0" applyAlignment="0" applyProtection="0"/>
    <xf numFmtId="44" fontId="13" fillId="0" borderId="0" applyFont="0" applyFill="0" applyBorder="0" applyAlignment="0" applyProtection="0"/>
    <xf numFmtId="166" fontId="13"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66" fontId="2" fillId="0" borderId="0" applyFont="0" applyFill="0" applyBorder="0" applyAlignment="0" applyProtection="0"/>
    <xf numFmtId="166" fontId="11" fillId="0" borderId="0" applyFont="0" applyFill="0" applyBorder="0" applyAlignment="0" applyProtection="0"/>
    <xf numFmtId="0" fontId="2" fillId="0" borderId="0" applyFont="0" applyFill="0" applyBorder="0" applyAlignment="0" applyProtection="0"/>
    <xf numFmtId="44" fontId="13" fillId="0" borderId="0" applyFont="0" applyFill="0" applyBorder="0" applyAlignment="0" applyProtection="0"/>
    <xf numFmtId="166" fontId="1" fillId="0" borderId="0" applyFont="0" applyFill="0" applyBorder="0" applyAlignment="0" applyProtection="0"/>
    <xf numFmtId="166" fontId="2" fillId="0" borderId="0" applyFont="0" applyFill="0" applyBorder="0" applyAlignment="0" applyProtection="0"/>
    <xf numFmtId="0" fontId="13" fillId="0" borderId="0"/>
    <xf numFmtId="0" fontId="2" fillId="0" borderId="0"/>
    <xf numFmtId="0" fontId="2" fillId="0" borderId="0"/>
    <xf numFmtId="9" fontId="2" fillId="0" borderId="0" applyFont="0" applyFill="0" applyBorder="0" applyAlignment="0" applyProtection="0"/>
    <xf numFmtId="9" fontId="13" fillId="0" borderId="0" applyFont="0" applyFill="0" applyBorder="0" applyAlignment="0" applyProtection="0"/>
    <xf numFmtId="43" fontId="2" fillId="0" borderId="0" applyFont="0" applyFill="0" applyBorder="0" applyAlignment="0" applyProtection="0"/>
    <xf numFmtId="43" fontId="13" fillId="0" borderId="0" applyFont="0" applyFill="0" applyBorder="0" applyAlignment="0" applyProtection="0"/>
    <xf numFmtId="43" fontId="2" fillId="0" borderId="0" applyFont="0" applyFill="0" applyBorder="0" applyAlignment="0" applyProtection="0"/>
    <xf numFmtId="0" fontId="2" fillId="0" borderId="0" applyFont="0" applyFill="0" applyBorder="0" applyAlignment="0" applyProtection="0"/>
    <xf numFmtId="165" fontId="2" fillId="0" borderId="0" applyFont="0" applyFill="0" applyBorder="0" applyAlignment="0" applyProtection="0"/>
    <xf numFmtId="43" fontId="13" fillId="0" borderId="0" applyFont="0" applyFill="0" applyBorder="0" applyAlignment="0" applyProtection="0"/>
    <xf numFmtId="165" fontId="2" fillId="0" borderId="0" applyFont="0" applyFill="0" applyBorder="0" applyAlignment="0" applyProtection="0"/>
    <xf numFmtId="43"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2" fillId="0" borderId="0" applyFont="0" applyFill="0" applyBorder="0" applyAlignment="0" applyProtection="0"/>
    <xf numFmtId="43" fontId="13" fillId="0" borderId="0" applyFont="0" applyFill="0" applyBorder="0" applyAlignment="0" applyProtection="0"/>
    <xf numFmtId="0" fontId="14" fillId="0" borderId="0" applyNumberFormat="0" applyFill="0" applyBorder="0" applyAlignment="0" applyProtection="0"/>
    <xf numFmtId="0" fontId="15" fillId="0" borderId="9" applyNumberFormat="0" applyFill="0" applyAlignment="0" applyProtection="0"/>
    <xf numFmtId="43" fontId="1" fillId="0" borderId="0" applyFont="0" applyFill="0" applyBorder="0" applyAlignment="0" applyProtection="0"/>
    <xf numFmtId="49" fontId="17" fillId="0" borderId="0"/>
    <xf numFmtId="165" fontId="6" fillId="0" borderId="0" applyFont="0" applyFill="0" applyBorder="0" applyAlignment="0" applyProtection="0"/>
    <xf numFmtId="49" fontId="6" fillId="0" borderId="0"/>
    <xf numFmtId="0" fontId="14" fillId="0" borderId="0" applyNumberFormat="0" applyFill="0" applyBorder="0" applyAlignment="0" applyProtection="0"/>
    <xf numFmtId="0" fontId="42" fillId="0" borderId="0"/>
    <xf numFmtId="0" fontId="43" fillId="0" borderId="0"/>
    <xf numFmtId="0" fontId="43" fillId="0" borderId="0"/>
    <xf numFmtId="0" fontId="1" fillId="0" borderId="0"/>
    <xf numFmtId="6" fontId="2" fillId="0" borderId="0" applyFont="0" applyFill="0" applyBorder="0" applyAlignment="0" applyProtection="0"/>
    <xf numFmtId="43" fontId="1" fillId="0" borderId="0" applyFont="0" applyFill="0" applyBorder="0" applyAlignment="0" applyProtection="0"/>
    <xf numFmtId="0" fontId="2" fillId="0" borderId="0"/>
    <xf numFmtId="9" fontId="2" fillId="0" borderId="0" applyFont="0" applyFill="0" applyBorder="0" applyAlignment="0" applyProtection="0"/>
    <xf numFmtId="44" fontId="13" fillId="0" borderId="0" applyFont="0" applyFill="0" applyBorder="0" applyAlignment="0" applyProtection="0"/>
    <xf numFmtId="166" fontId="2" fillId="0" borderId="0" applyFont="0" applyFill="0" applyBorder="0" applyAlignment="0" applyProtection="0"/>
    <xf numFmtId="44" fontId="13" fillId="0" borderId="0" applyFont="0" applyFill="0" applyBorder="0" applyAlignment="0" applyProtection="0"/>
    <xf numFmtId="43" fontId="2" fillId="0" borderId="0" applyFont="0" applyFill="0" applyBorder="0" applyAlignment="0" applyProtection="0"/>
    <xf numFmtId="43" fontId="13"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3"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3" fillId="0" borderId="0" applyFont="0" applyFill="0" applyBorder="0" applyAlignment="0" applyProtection="0"/>
    <xf numFmtId="43" fontId="1" fillId="0" borderId="0" applyFont="0" applyFill="0" applyBorder="0" applyAlignment="0" applyProtection="0"/>
    <xf numFmtId="49" fontId="6" fillId="0" borderId="0"/>
    <xf numFmtId="43" fontId="6" fillId="0" borderId="0" applyFont="0" applyFill="0" applyBorder="0" applyAlignment="0" applyProtection="0"/>
    <xf numFmtId="0" fontId="42" fillId="0" borderId="0"/>
    <xf numFmtId="0" fontId="42" fillId="0" borderId="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cellStyleXfs>
  <cellXfs count="417">
    <xf numFmtId="0" fontId="0" fillId="0" borderId="0" xfId="0"/>
    <xf numFmtId="0" fontId="2" fillId="0" borderId="0" xfId="1" applyAlignment="1">
      <alignment vertical="center"/>
    </xf>
    <xf numFmtId="0" fontId="8" fillId="0" borderId="0" xfId="1" applyFont="1"/>
    <xf numFmtId="0" fontId="19" fillId="0" borderId="0" xfId="0" applyFont="1" applyAlignment="1">
      <alignment vertical="center"/>
    </xf>
    <xf numFmtId="0" fontId="4" fillId="0" borderId="0" xfId="1" applyFont="1" applyAlignment="1">
      <alignment vertical="center"/>
    </xf>
    <xf numFmtId="0" fontId="4" fillId="2" borderId="0" xfId="1" applyFont="1" applyFill="1" applyAlignment="1">
      <alignment vertical="center"/>
    </xf>
    <xf numFmtId="0" fontId="4" fillId="4" borderId="0" xfId="1" applyFont="1" applyFill="1" applyAlignment="1">
      <alignment vertical="center"/>
    </xf>
    <xf numFmtId="10" fontId="4" fillId="0" borderId="0" xfId="17" applyNumberFormat="1" applyFont="1" applyBorder="1" applyAlignment="1">
      <alignment vertical="center"/>
    </xf>
    <xf numFmtId="0" fontId="4" fillId="0" borderId="8" xfId="1" applyFont="1" applyBorder="1" applyAlignment="1">
      <alignment vertical="center"/>
    </xf>
    <xf numFmtId="0" fontId="24" fillId="0" borderId="0" xfId="0" applyFont="1" applyAlignment="1">
      <alignment vertical="center" wrapText="1"/>
    </xf>
    <xf numFmtId="0" fontId="4" fillId="0" borderId="0" xfId="0" applyFont="1" applyAlignment="1">
      <alignment vertical="center"/>
    </xf>
    <xf numFmtId="0" fontId="3" fillId="0" borderId="5" xfId="0" applyFont="1" applyBorder="1" applyAlignment="1">
      <alignment vertical="center" wrapText="1"/>
    </xf>
    <xf numFmtId="0" fontId="3" fillId="8" borderId="5" xfId="0" applyFont="1" applyFill="1" applyBorder="1" applyAlignment="1">
      <alignment horizontal="left" vertical="center" wrapText="1"/>
    </xf>
    <xf numFmtId="0" fontId="4" fillId="4" borderId="5" xfId="1" applyFont="1" applyFill="1" applyBorder="1" applyAlignment="1">
      <alignment vertical="center" wrapText="1"/>
    </xf>
    <xf numFmtId="10" fontId="28" fillId="4" borderId="5" xfId="17" applyNumberFormat="1" applyFont="1" applyFill="1" applyBorder="1" applyAlignment="1" applyProtection="1">
      <alignment vertical="center"/>
    </xf>
    <xf numFmtId="164" fontId="4" fillId="4" borderId="5" xfId="2" applyFont="1" applyFill="1" applyBorder="1" applyAlignment="1" applyProtection="1">
      <alignment vertical="center"/>
    </xf>
    <xf numFmtId="0" fontId="4" fillId="2" borderId="5" xfId="1" applyFont="1" applyFill="1" applyBorder="1" applyAlignment="1">
      <alignment wrapText="1"/>
    </xf>
    <xf numFmtId="0" fontId="3" fillId="3" borderId="5" xfId="1" applyFont="1" applyFill="1" applyBorder="1" applyAlignment="1">
      <alignment horizontal="left" vertical="center" wrapText="1"/>
    </xf>
    <xf numFmtId="9" fontId="26" fillId="3" borderId="5" xfId="17" applyFont="1" applyFill="1" applyBorder="1" applyAlignment="1" applyProtection="1">
      <alignment horizontal="center" vertical="center"/>
    </xf>
    <xf numFmtId="0" fontId="3" fillId="3" borderId="5" xfId="1" applyFont="1" applyFill="1" applyBorder="1" applyAlignment="1">
      <alignment horizontal="center" vertical="center"/>
    </xf>
    <xf numFmtId="0" fontId="3" fillId="5" borderId="5" xfId="1" applyFont="1" applyFill="1" applyBorder="1" applyAlignment="1">
      <alignment vertical="center" wrapText="1"/>
    </xf>
    <xf numFmtId="9" fontId="27" fillId="5" borderId="5" xfId="17" applyFont="1" applyFill="1" applyBorder="1" applyAlignment="1" applyProtection="1">
      <alignment vertical="center"/>
    </xf>
    <xf numFmtId="164" fontId="3" fillId="5" borderId="5" xfId="2" applyFont="1" applyFill="1" applyBorder="1" applyAlignment="1" applyProtection="1">
      <alignment horizontal="center" vertical="center"/>
    </xf>
    <xf numFmtId="168" fontId="28" fillId="4" borderId="5" xfId="17" applyNumberFormat="1" applyFont="1" applyFill="1" applyBorder="1" applyAlignment="1" applyProtection="1">
      <alignment vertical="center"/>
    </xf>
    <xf numFmtId="0" fontId="3" fillId="6" borderId="5" xfId="1" applyFont="1" applyFill="1" applyBorder="1" applyAlignment="1">
      <alignment vertical="center" wrapText="1"/>
    </xf>
    <xf numFmtId="0" fontId="26" fillId="6" borderId="5" xfId="1" applyFont="1" applyFill="1" applyBorder="1" applyAlignment="1">
      <alignment vertical="center"/>
    </xf>
    <xf numFmtId="164" fontId="3" fillId="6" borderId="5" xfId="1" applyNumberFormat="1" applyFont="1" applyFill="1" applyBorder="1" applyAlignment="1">
      <alignment vertical="center"/>
    </xf>
    <xf numFmtId="0" fontId="3" fillId="4" borderId="5" xfId="1" applyFont="1" applyFill="1" applyBorder="1" applyAlignment="1">
      <alignment vertical="center" wrapText="1"/>
    </xf>
    <xf numFmtId="164" fontId="3" fillId="4" borderId="5" xfId="1" applyNumberFormat="1" applyFont="1" applyFill="1" applyBorder="1" applyAlignment="1">
      <alignment vertical="center"/>
    </xf>
    <xf numFmtId="0" fontId="3" fillId="7" borderId="5" xfId="1" applyFont="1" applyFill="1" applyBorder="1" applyAlignment="1">
      <alignment horizontal="left" vertical="center" wrapText="1"/>
    </xf>
    <xf numFmtId="9" fontId="26" fillId="7" borderId="5" xfId="17" applyFont="1" applyFill="1" applyBorder="1" applyAlignment="1" applyProtection="1">
      <alignment horizontal="center" vertical="center"/>
    </xf>
    <xf numFmtId="0" fontId="3" fillId="7" borderId="5" xfId="1" applyFont="1" applyFill="1" applyBorder="1" applyAlignment="1">
      <alignment horizontal="center" vertical="center"/>
    </xf>
    <xf numFmtId="10" fontId="26" fillId="5" borderId="5" xfId="17" applyNumberFormat="1" applyFont="1" applyFill="1" applyBorder="1" applyAlignment="1" applyProtection="1">
      <alignment vertical="center"/>
    </xf>
    <xf numFmtId="10" fontId="28" fillId="4" borderId="5" xfId="1" applyNumberFormat="1" applyFont="1" applyFill="1" applyBorder="1" applyAlignment="1">
      <alignment vertical="center"/>
    </xf>
    <xf numFmtId="164" fontId="4" fillId="4" borderId="5" xfId="1" applyNumberFormat="1" applyFont="1" applyFill="1" applyBorder="1" applyAlignment="1">
      <alignment vertical="center"/>
    </xf>
    <xf numFmtId="0" fontId="3" fillId="10" borderId="5" xfId="1" applyFont="1" applyFill="1" applyBorder="1" applyAlignment="1">
      <alignment horizontal="center" vertical="center" wrapText="1"/>
    </xf>
    <xf numFmtId="164" fontId="3" fillId="10" borderId="5" xfId="1" applyNumberFormat="1" applyFont="1" applyFill="1" applyBorder="1" applyAlignment="1">
      <alignment vertical="center"/>
    </xf>
    <xf numFmtId="0" fontId="4" fillId="4" borderId="5" xfId="1" applyFont="1" applyFill="1" applyBorder="1" applyAlignment="1">
      <alignment horizontal="left" vertical="center" wrapText="1"/>
    </xf>
    <xf numFmtId="10" fontId="4" fillId="4" borderId="5" xfId="1" applyNumberFormat="1" applyFont="1" applyFill="1" applyBorder="1" applyAlignment="1">
      <alignment horizontal="right" vertical="center" wrapText="1"/>
    </xf>
    <xf numFmtId="10" fontId="3" fillId="6" borderId="5" xfId="1" applyNumberFormat="1" applyFont="1" applyFill="1" applyBorder="1" applyAlignment="1">
      <alignment horizontal="right" vertical="center" wrapText="1"/>
    </xf>
    <xf numFmtId="0" fontId="3" fillId="9" borderId="5" xfId="1" applyFont="1" applyFill="1" applyBorder="1" applyAlignment="1">
      <alignment horizontal="left" vertical="center" wrapText="1"/>
    </xf>
    <xf numFmtId="10" fontId="3" fillId="9" borderId="5" xfId="1" applyNumberFormat="1" applyFont="1" applyFill="1" applyBorder="1" applyAlignment="1">
      <alignment horizontal="right" vertical="center" wrapText="1"/>
    </xf>
    <xf numFmtId="164" fontId="3" fillId="9" borderId="5" xfId="1" applyNumberFormat="1" applyFont="1" applyFill="1" applyBorder="1" applyAlignment="1">
      <alignment vertical="center"/>
    </xf>
    <xf numFmtId="0" fontId="4" fillId="0" borderId="5" xfId="1" applyFont="1" applyBorder="1" applyAlignment="1">
      <alignment vertical="center" wrapText="1"/>
    </xf>
    <xf numFmtId="0" fontId="4" fillId="11" borderId="5" xfId="1" applyFont="1" applyFill="1" applyBorder="1" applyAlignment="1">
      <alignment vertical="center" wrapText="1"/>
    </xf>
    <xf numFmtId="10" fontId="28" fillId="11" borderId="5" xfId="17" applyNumberFormat="1" applyFont="1" applyFill="1" applyBorder="1" applyAlignment="1" applyProtection="1">
      <alignment vertical="center"/>
    </xf>
    <xf numFmtId="164" fontId="4" fillId="11" borderId="5" xfId="2" applyFont="1" applyFill="1" applyBorder="1" applyAlignment="1" applyProtection="1">
      <alignment vertical="center"/>
    </xf>
    <xf numFmtId="0" fontId="4" fillId="4" borderId="5" xfId="1" applyFont="1" applyFill="1" applyBorder="1" applyAlignment="1">
      <alignment horizontal="center" vertical="center" wrapText="1"/>
    </xf>
    <xf numFmtId="164" fontId="3" fillId="4" borderId="5" xfId="2" applyFont="1" applyFill="1" applyBorder="1" applyAlignment="1" applyProtection="1">
      <alignment vertical="center"/>
    </xf>
    <xf numFmtId="0" fontId="3" fillId="5" borderId="5" xfId="1" applyFont="1" applyFill="1" applyBorder="1" applyAlignment="1">
      <alignment horizontal="center" vertical="center" wrapText="1"/>
    </xf>
    <xf numFmtId="0" fontId="9" fillId="8" borderId="5" xfId="0" applyFont="1" applyFill="1" applyBorder="1" applyAlignment="1">
      <alignment horizontal="center" vertical="center" wrapText="1"/>
    </xf>
    <xf numFmtId="1" fontId="3" fillId="8" borderId="5" xfId="0" applyNumberFormat="1" applyFont="1" applyFill="1" applyBorder="1" applyAlignment="1">
      <alignment horizontal="center" vertical="center" wrapText="1"/>
    </xf>
    <xf numFmtId="43" fontId="4" fillId="0" borderId="0" xfId="1" applyNumberFormat="1" applyFont="1" applyAlignment="1">
      <alignment vertical="center"/>
    </xf>
    <xf numFmtId="0" fontId="33" fillId="0" borderId="0" xfId="0" applyFont="1" applyAlignment="1">
      <alignment vertical="center" wrapText="1"/>
    </xf>
    <xf numFmtId="0" fontId="34" fillId="0" borderId="0" xfId="0" applyFont="1" applyAlignment="1">
      <alignment vertical="center" wrapText="1"/>
    </xf>
    <xf numFmtId="0" fontId="3" fillId="10" borderId="7" xfId="1" applyFont="1" applyFill="1" applyBorder="1" applyAlignment="1">
      <alignment horizontal="center" vertical="center" wrapText="1"/>
    </xf>
    <xf numFmtId="164" fontId="3" fillId="10" borderId="7" xfId="1" applyNumberFormat="1" applyFont="1" applyFill="1" applyBorder="1" applyAlignment="1">
      <alignment vertical="center"/>
    </xf>
    <xf numFmtId="0" fontId="31" fillId="0" borderId="0" xfId="0" applyFont="1" applyAlignment="1">
      <alignment vertical="center" wrapText="1"/>
    </xf>
    <xf numFmtId="0" fontId="3" fillId="6" borderId="7" xfId="1" applyFont="1" applyFill="1" applyBorder="1" applyAlignment="1">
      <alignment horizontal="center" vertical="center" wrapText="1"/>
    </xf>
    <xf numFmtId="0" fontId="26" fillId="6" borderId="7" xfId="1" applyFont="1" applyFill="1" applyBorder="1" applyAlignment="1">
      <alignment vertical="center"/>
    </xf>
    <xf numFmtId="164" fontId="3" fillId="6" borderId="7" xfId="1" applyNumberFormat="1" applyFont="1" applyFill="1" applyBorder="1" applyAlignment="1">
      <alignment vertical="center"/>
    </xf>
    <xf numFmtId="0" fontId="35" fillId="0" borderId="0" xfId="0" applyFont="1" applyAlignment="1">
      <alignment vertical="center"/>
    </xf>
    <xf numFmtId="0" fontId="32" fillId="0" borderId="0" xfId="0" applyFont="1" applyAlignment="1">
      <alignment vertical="center" wrapText="1"/>
    </xf>
    <xf numFmtId="0" fontId="19" fillId="0" borderId="0" xfId="1" applyFont="1"/>
    <xf numFmtId="0" fontId="38" fillId="0" borderId="0" xfId="1" applyFont="1"/>
    <xf numFmtId="167" fontId="22" fillId="0" borderId="5" xfId="1" applyNumberFormat="1" applyFont="1" applyBorder="1" applyAlignment="1">
      <alignment vertical="center" wrapText="1"/>
    </xf>
    <xf numFmtId="0" fontId="37" fillId="0" borderId="5" xfId="1" applyFont="1" applyBorder="1" applyAlignment="1">
      <alignment horizontal="center" vertical="center" wrapText="1"/>
    </xf>
    <xf numFmtId="10" fontId="4" fillId="0" borderId="0" xfId="1" applyNumberFormat="1" applyFont="1" applyAlignment="1">
      <alignment vertical="center"/>
    </xf>
    <xf numFmtId="10" fontId="39" fillId="10" borderId="7" xfId="1" applyNumberFormat="1" applyFont="1" applyFill="1" applyBorder="1" applyAlignment="1">
      <alignment vertical="center"/>
    </xf>
    <xf numFmtId="10" fontId="40" fillId="4" borderId="5" xfId="17" applyNumberFormat="1" applyFont="1" applyFill="1" applyBorder="1" applyAlignment="1" applyProtection="1">
      <alignment vertical="center"/>
    </xf>
    <xf numFmtId="164" fontId="40" fillId="4" borderId="5" xfId="2" applyFont="1" applyFill="1" applyBorder="1" applyAlignment="1" applyProtection="1">
      <alignment vertical="center"/>
    </xf>
    <xf numFmtId="167" fontId="4" fillId="0" borderId="0" xfId="1" applyNumberFormat="1" applyFont="1" applyAlignment="1">
      <alignment vertical="center"/>
    </xf>
    <xf numFmtId="0" fontId="10" fillId="2" borderId="5" xfId="1" applyFont="1" applyFill="1" applyBorder="1" applyAlignment="1">
      <alignment horizontal="center" vertical="center"/>
    </xf>
    <xf numFmtId="0" fontId="20" fillId="11" borderId="3" xfId="1" applyFont="1" applyFill="1" applyBorder="1" applyAlignment="1">
      <alignment horizontal="center" vertical="center" wrapText="1"/>
    </xf>
    <xf numFmtId="0" fontId="20" fillId="11" borderId="5" xfId="1" applyFont="1" applyFill="1" applyBorder="1" applyAlignment="1">
      <alignment horizontal="center" vertical="center" wrapText="1"/>
    </xf>
    <xf numFmtId="10" fontId="39" fillId="10" borderId="5" xfId="1" applyNumberFormat="1" applyFont="1" applyFill="1" applyBorder="1" applyAlignment="1">
      <alignment vertical="center"/>
    </xf>
    <xf numFmtId="0" fontId="21" fillId="11" borderId="5" xfId="1" applyFont="1" applyFill="1" applyBorder="1" applyAlignment="1">
      <alignment horizontal="center" vertical="center" wrapText="1"/>
    </xf>
    <xf numFmtId="0" fontId="2" fillId="2" borderId="5" xfId="1" applyFill="1" applyBorder="1" applyAlignment="1">
      <alignment horizontal="center" vertical="center" wrapText="1"/>
    </xf>
    <xf numFmtId="3" fontId="2" fillId="2" borderId="3" xfId="1" applyNumberFormat="1" applyFill="1" applyBorder="1" applyAlignment="1">
      <alignment horizontal="center" vertical="center" wrapText="1"/>
    </xf>
    <xf numFmtId="0" fontId="16" fillId="2" borderId="0" xfId="1" applyFont="1" applyFill="1" applyAlignment="1">
      <alignment horizontal="justify" vertical="justify" wrapText="1"/>
    </xf>
    <xf numFmtId="0" fontId="3" fillId="8" borderId="5" xfId="0" applyFont="1" applyFill="1" applyBorder="1" applyAlignment="1">
      <alignment horizontal="center" vertical="center" wrapText="1"/>
    </xf>
    <xf numFmtId="0" fontId="3" fillId="6" borderId="5" xfId="1" applyFont="1" applyFill="1" applyBorder="1" applyAlignment="1">
      <alignment horizontal="center" vertical="center" wrapText="1"/>
    </xf>
    <xf numFmtId="0" fontId="3" fillId="5" borderId="5" xfId="1" applyFont="1" applyFill="1" applyBorder="1" applyAlignment="1">
      <alignment horizontal="left" vertical="center" wrapText="1"/>
    </xf>
    <xf numFmtId="4" fontId="4" fillId="0" borderId="0" xfId="1" applyNumberFormat="1" applyFont="1" applyAlignment="1">
      <alignment vertical="center"/>
    </xf>
    <xf numFmtId="3" fontId="22" fillId="8" borderId="3" xfId="1" applyNumberFormat="1" applyFont="1" applyFill="1" applyBorder="1" applyAlignment="1">
      <alignment horizontal="center" vertical="center" wrapText="1"/>
    </xf>
    <xf numFmtId="4" fontId="2" fillId="2" borderId="3" xfId="1" applyNumberFormat="1" applyFill="1" applyBorder="1" applyAlignment="1">
      <alignment horizontal="right" vertical="center" wrapText="1"/>
    </xf>
    <xf numFmtId="4" fontId="22" fillId="8" borderId="7" xfId="1" applyNumberFormat="1" applyFont="1" applyFill="1" applyBorder="1" applyAlignment="1">
      <alignment horizontal="right" vertical="center"/>
    </xf>
    <xf numFmtId="167" fontId="22" fillId="8" borderId="7" xfId="1" applyNumberFormat="1" applyFont="1" applyFill="1" applyBorder="1" applyAlignment="1">
      <alignment horizontal="right" vertical="center" wrapText="1"/>
    </xf>
    <xf numFmtId="0" fontId="22" fillId="0" borderId="5" xfId="1" applyFont="1" applyBorder="1" applyAlignment="1">
      <alignment horizontal="center" vertical="center" wrapText="1"/>
    </xf>
    <xf numFmtId="167" fontId="22" fillId="0" borderId="5" xfId="1" applyNumberFormat="1" applyFont="1" applyBorder="1" applyAlignment="1">
      <alignment vertical="center"/>
    </xf>
    <xf numFmtId="4" fontId="22" fillId="0" borderId="5" xfId="1" applyNumberFormat="1" applyFont="1" applyBorder="1" applyAlignment="1">
      <alignment horizontal="center" vertical="center" wrapText="1"/>
    </xf>
    <xf numFmtId="4" fontId="22" fillId="0" borderId="5" xfId="1" applyNumberFormat="1" applyFont="1" applyBorder="1" applyAlignment="1">
      <alignment horizontal="center" vertical="center"/>
    </xf>
    <xf numFmtId="0" fontId="21" fillId="11" borderId="3" xfId="1" applyFont="1" applyFill="1" applyBorder="1" applyAlignment="1">
      <alignment horizontal="center" vertical="center" wrapText="1"/>
    </xf>
    <xf numFmtId="4" fontId="22" fillId="8" borderId="5" xfId="1" applyNumberFormat="1" applyFont="1" applyFill="1" applyBorder="1" applyAlignment="1">
      <alignment horizontal="right" vertical="center"/>
    </xf>
    <xf numFmtId="0" fontId="46" fillId="0" borderId="0" xfId="69" applyFont="1" applyAlignment="1">
      <alignment horizontal="left" vertical="center"/>
    </xf>
    <xf numFmtId="0" fontId="46" fillId="0" borderId="0" xfId="69" applyFont="1"/>
    <xf numFmtId="0" fontId="46" fillId="0" borderId="0" xfId="69" applyFont="1" applyAlignment="1">
      <alignment horizontal="left"/>
    </xf>
    <xf numFmtId="0" fontId="46" fillId="0" borderId="0" xfId="69" applyFont="1" applyAlignment="1">
      <alignment horizontal="center" vertical="center"/>
    </xf>
    <xf numFmtId="0" fontId="48" fillId="0" borderId="5" xfId="69" applyFont="1" applyBorder="1" applyAlignment="1">
      <alignment horizontal="center" vertical="center" wrapText="1"/>
    </xf>
    <xf numFmtId="10" fontId="50" fillId="0" borderId="5" xfId="69" applyNumberFormat="1" applyFont="1" applyBorder="1" applyAlignment="1">
      <alignment horizontal="center" vertical="center" shrinkToFit="1"/>
    </xf>
    <xf numFmtId="0" fontId="48" fillId="0" borderId="5" xfId="0" applyFont="1" applyBorder="1" applyAlignment="1">
      <alignment horizontal="center" vertical="center" wrapText="1"/>
    </xf>
    <xf numFmtId="10" fontId="50" fillId="0" borderId="5" xfId="0" applyNumberFormat="1" applyFont="1" applyBorder="1" applyAlignment="1">
      <alignment horizontal="center" vertical="center" shrinkToFit="1"/>
    </xf>
    <xf numFmtId="0" fontId="1" fillId="0" borderId="0" xfId="0" applyFont="1" applyAlignment="1">
      <alignment horizontal="left" vertical="center"/>
    </xf>
    <xf numFmtId="10" fontId="54" fillId="0" borderId="5" xfId="0" applyNumberFormat="1" applyFont="1" applyBorder="1" applyAlignment="1">
      <alignment horizontal="center" vertical="center" shrinkToFit="1"/>
    </xf>
    <xf numFmtId="0" fontId="47" fillId="0" borderId="13" xfId="0" applyFont="1" applyBorder="1" applyAlignment="1">
      <alignment horizontal="center" vertical="center" wrapText="1"/>
    </xf>
    <xf numFmtId="10" fontId="54" fillId="0" borderId="13" xfId="0" applyNumberFormat="1" applyFont="1" applyBorder="1" applyAlignment="1">
      <alignment horizontal="center" vertical="center" shrinkToFit="1"/>
    </xf>
    <xf numFmtId="0" fontId="48" fillId="0" borderId="13" xfId="0" applyFont="1" applyBorder="1" applyAlignment="1">
      <alignment horizontal="center" vertical="center" wrapText="1"/>
    </xf>
    <xf numFmtId="0" fontId="46" fillId="0" borderId="0" xfId="69" applyFont="1" applyAlignment="1">
      <alignment horizontal="left" vertical="top"/>
    </xf>
    <xf numFmtId="0" fontId="1" fillId="0" borderId="0" xfId="0" applyFont="1" applyAlignment="1">
      <alignment horizontal="left" vertical="top"/>
    </xf>
    <xf numFmtId="0" fontId="47" fillId="0" borderId="5" xfId="69" applyFont="1" applyBorder="1" applyAlignment="1">
      <alignment horizontal="center" vertical="top" wrapText="1"/>
    </xf>
    <xf numFmtId="1" fontId="50" fillId="0" borderId="5" xfId="69" applyNumberFormat="1" applyFont="1" applyBorder="1" applyAlignment="1">
      <alignment horizontal="center" vertical="center" shrinkToFit="1"/>
    </xf>
    <xf numFmtId="0" fontId="48" fillId="2" borderId="5" xfId="0" applyFont="1" applyFill="1" applyBorder="1" applyAlignment="1">
      <alignment horizontal="center" vertical="center" wrapText="1"/>
    </xf>
    <xf numFmtId="10" fontId="50" fillId="2" borderId="5" xfId="0" applyNumberFormat="1" applyFont="1" applyFill="1" applyBorder="1" applyAlignment="1">
      <alignment horizontal="right" vertical="center" indent="2" shrinkToFit="1"/>
    </xf>
    <xf numFmtId="0" fontId="1" fillId="14" borderId="0" xfId="0" applyFont="1" applyFill="1" applyAlignment="1">
      <alignment horizontal="left" vertical="top"/>
    </xf>
    <xf numFmtId="169" fontId="50" fillId="2" borderId="5" xfId="0" applyNumberFormat="1" applyFont="1" applyFill="1" applyBorder="1" applyAlignment="1">
      <alignment horizontal="right" vertical="center" indent="2" shrinkToFit="1"/>
    </xf>
    <xf numFmtId="0" fontId="1" fillId="2" borderId="0" xfId="0" applyFont="1" applyFill="1" applyAlignment="1">
      <alignment horizontal="left" vertical="top"/>
    </xf>
    <xf numFmtId="0" fontId="48" fillId="2" borderId="5" xfId="0" applyFont="1" applyFill="1" applyBorder="1" applyAlignment="1">
      <alignment horizontal="center" vertical="top" wrapText="1"/>
    </xf>
    <xf numFmtId="10" fontId="50" fillId="2" borderId="5" xfId="0" applyNumberFormat="1" applyFont="1" applyFill="1" applyBorder="1" applyAlignment="1">
      <alignment horizontal="center" vertical="center" shrinkToFit="1"/>
    </xf>
    <xf numFmtId="10" fontId="50" fillId="2" borderId="21" xfId="0" applyNumberFormat="1" applyFont="1" applyFill="1" applyBorder="1" applyAlignment="1">
      <alignment horizontal="center" vertical="center" shrinkToFit="1"/>
    </xf>
    <xf numFmtId="0" fontId="46" fillId="2" borderId="0" xfId="69" applyFont="1" applyFill="1" applyAlignment="1">
      <alignment horizontal="left" vertical="center"/>
    </xf>
    <xf numFmtId="0" fontId="48" fillId="0" borderId="0" xfId="0" applyFont="1" applyAlignment="1">
      <alignment vertical="center" wrapText="1"/>
    </xf>
    <xf numFmtId="0" fontId="47" fillId="0" borderId="0" xfId="0" applyFont="1" applyAlignment="1">
      <alignment vertical="top" wrapText="1"/>
    </xf>
    <xf numFmtId="0" fontId="2" fillId="0" borderId="0" xfId="1"/>
    <xf numFmtId="0" fontId="62" fillId="15" borderId="26" xfId="1" applyFont="1" applyFill="1" applyBorder="1" applyAlignment="1">
      <alignment horizontal="center" vertical="center" wrapText="1"/>
    </xf>
    <xf numFmtId="0" fontId="2" fillId="0" borderId="0" xfId="1" applyAlignment="1">
      <alignment wrapText="1"/>
    </xf>
    <xf numFmtId="0" fontId="60" fillId="0" borderId="26" xfId="1" applyFont="1" applyBorder="1" applyAlignment="1">
      <alignment horizontal="center" vertical="center"/>
    </xf>
    <xf numFmtId="4" fontId="60" fillId="0" borderId="26" xfId="1" applyNumberFormat="1" applyFont="1" applyBorder="1" applyAlignment="1">
      <alignment horizontal="right" vertical="center"/>
    </xf>
    <xf numFmtId="4" fontId="61" fillId="15" borderId="26" xfId="1" applyNumberFormat="1" applyFont="1" applyFill="1" applyBorder="1" applyAlignment="1">
      <alignment horizontal="right" vertical="center"/>
    </xf>
    <xf numFmtId="0" fontId="62" fillId="15" borderId="26" xfId="1" applyFont="1" applyFill="1" applyBorder="1" applyAlignment="1">
      <alignment vertical="center" wrapText="1"/>
    </xf>
    <xf numFmtId="4" fontId="60" fillId="0" borderId="26" xfId="1" applyNumberFormat="1" applyFont="1" applyBorder="1" applyAlignment="1">
      <alignment vertical="center"/>
    </xf>
    <xf numFmtId="2" fontId="2" fillId="0" borderId="0" xfId="1" applyNumberFormat="1" applyAlignment="1">
      <alignment vertical="center"/>
    </xf>
    <xf numFmtId="0" fontId="60" fillId="0" borderId="27" xfId="1" applyFont="1" applyBorder="1" applyAlignment="1">
      <alignment horizontal="center" vertical="center"/>
    </xf>
    <xf numFmtId="4" fontId="60" fillId="0" borderId="27" xfId="1" applyNumberFormat="1" applyFont="1" applyBorder="1" applyAlignment="1">
      <alignment vertical="center"/>
    </xf>
    <xf numFmtId="4" fontId="60" fillId="0" borderId="27" xfId="1" applyNumberFormat="1" applyFont="1" applyBorder="1" applyAlignment="1">
      <alignment horizontal="right" vertical="center"/>
    </xf>
    <xf numFmtId="0" fontId="60" fillId="0" borderId="5" xfId="1" applyFont="1" applyBorder="1" applyAlignment="1">
      <alignment horizontal="center" vertical="center"/>
    </xf>
    <xf numFmtId="4" fontId="60" fillId="0" borderId="5" xfId="1" applyNumberFormat="1" applyFont="1" applyBorder="1" applyAlignment="1">
      <alignment vertical="center"/>
    </xf>
    <xf numFmtId="4" fontId="60" fillId="0" borderId="5" xfId="1" applyNumberFormat="1" applyFont="1" applyBorder="1" applyAlignment="1">
      <alignment horizontal="right" vertical="center"/>
    </xf>
    <xf numFmtId="0" fontId="60" fillId="0" borderId="28" xfId="1" applyFont="1" applyBorder="1" applyAlignment="1">
      <alignment horizontal="center" vertical="center"/>
    </xf>
    <xf numFmtId="4" fontId="60" fillId="0" borderId="28" xfId="1" applyNumberFormat="1" applyFont="1" applyBorder="1" applyAlignment="1">
      <alignment vertical="center"/>
    </xf>
    <xf numFmtId="4" fontId="60" fillId="0" borderId="28" xfId="1" applyNumberFormat="1" applyFont="1" applyBorder="1" applyAlignment="1">
      <alignment horizontal="right" vertical="center"/>
    </xf>
    <xf numFmtId="0" fontId="61" fillId="16" borderId="0" xfId="1" applyFont="1" applyFill="1" applyAlignment="1">
      <alignment horizontal="center" vertical="center"/>
    </xf>
    <xf numFmtId="4" fontId="61" fillId="16" borderId="0" xfId="1" applyNumberFormat="1" applyFont="1" applyFill="1" applyAlignment="1">
      <alignment horizontal="right" vertical="center"/>
    </xf>
    <xf numFmtId="0" fontId="2" fillId="2" borderId="0" xfId="1" applyFill="1"/>
    <xf numFmtId="0" fontId="60" fillId="0" borderId="0" xfId="1" applyFont="1" applyAlignment="1">
      <alignment horizontal="center"/>
    </xf>
    <xf numFmtId="0" fontId="60" fillId="0" borderId="0" xfId="1" applyFont="1" applyAlignment="1">
      <alignment horizontal="left"/>
    </xf>
    <xf numFmtId="0" fontId="60" fillId="0" borderId="26" xfId="1" applyFont="1" applyBorder="1" applyAlignment="1">
      <alignment horizontal="justify" vertical="justify" wrapText="1"/>
    </xf>
    <xf numFmtId="0" fontId="60" fillId="0" borderId="26" xfId="1" applyFont="1" applyBorder="1" applyAlignment="1">
      <alignment horizontal="left" vertical="center"/>
    </xf>
    <xf numFmtId="0" fontId="60" fillId="0" borderId="26" xfId="1" applyFont="1" applyBorder="1" applyAlignment="1">
      <alignment horizontal="justify" vertical="center" wrapText="1"/>
    </xf>
    <xf numFmtId="10" fontId="4" fillId="2" borderId="0" xfId="1" applyNumberFormat="1" applyFont="1" applyFill="1" applyAlignment="1">
      <alignment vertical="center"/>
    </xf>
    <xf numFmtId="4" fontId="19" fillId="0" borderId="0" xfId="1" applyNumberFormat="1" applyFont="1"/>
    <xf numFmtId="164" fontId="4" fillId="17" borderId="5" xfId="2" applyFont="1" applyFill="1" applyBorder="1" applyAlignment="1" applyProtection="1">
      <alignment vertical="center"/>
    </xf>
    <xf numFmtId="0" fontId="4" fillId="14" borderId="0" xfId="1" applyFont="1" applyFill="1" applyAlignment="1">
      <alignment vertical="center"/>
    </xf>
    <xf numFmtId="167" fontId="1" fillId="0" borderId="0" xfId="0" applyNumberFormat="1" applyFont="1" applyAlignment="1">
      <alignment horizontal="left" vertical="top"/>
    </xf>
    <xf numFmtId="0" fontId="2" fillId="2" borderId="5" xfId="1" applyFill="1" applyBorder="1" applyAlignment="1">
      <alignment horizontal="center" vertical="center"/>
    </xf>
    <xf numFmtId="169" fontId="28" fillId="11" borderId="5" xfId="17" applyNumberFormat="1" applyFont="1" applyFill="1" applyBorder="1" applyAlignment="1" applyProtection="1">
      <alignment vertical="center"/>
    </xf>
    <xf numFmtId="1" fontId="50" fillId="2" borderId="5" xfId="0" applyNumberFormat="1" applyFont="1" applyFill="1" applyBorder="1" applyAlignment="1">
      <alignment horizontal="center" vertical="top" shrinkToFit="1"/>
    </xf>
    <xf numFmtId="167" fontId="48" fillId="2" borderId="5" xfId="69" applyNumberFormat="1" applyFont="1" applyFill="1" applyBorder="1" applyAlignment="1">
      <alignment horizontal="center" vertical="center" wrapText="1"/>
    </xf>
    <xf numFmtId="0" fontId="60" fillId="2" borderId="26" xfId="1" applyFont="1" applyFill="1" applyBorder="1" applyAlignment="1">
      <alignment horizontal="center" vertical="center"/>
    </xf>
    <xf numFmtId="4" fontId="60" fillId="2" borderId="26" xfId="1" applyNumberFormat="1" applyFont="1" applyFill="1" applyBorder="1" applyAlignment="1">
      <alignment vertical="center"/>
    </xf>
    <xf numFmtId="4" fontId="60" fillId="2" borderId="26" xfId="1" applyNumberFormat="1" applyFont="1" applyFill="1" applyBorder="1" applyAlignment="1">
      <alignment horizontal="right" vertical="center"/>
    </xf>
    <xf numFmtId="0" fontId="66" fillId="2" borderId="0" xfId="1" applyFont="1" applyFill="1" applyAlignment="1">
      <alignment horizontal="justify" vertical="center" wrapText="1"/>
    </xf>
    <xf numFmtId="0" fontId="69" fillId="0" borderId="0" xfId="1" applyFont="1"/>
    <xf numFmtId="0" fontId="72" fillId="0" borderId="0" xfId="1" applyFont="1"/>
    <xf numFmtId="0" fontId="16" fillId="2" borderId="0" xfId="1" applyFont="1" applyFill="1" applyAlignment="1">
      <alignment vertical="center" wrapText="1"/>
    </xf>
    <xf numFmtId="4" fontId="1" fillId="0" borderId="0" xfId="70" applyNumberFormat="1"/>
    <xf numFmtId="0" fontId="73" fillId="0" borderId="0" xfId="1" applyFont="1" applyAlignment="1">
      <alignment vertical="center" wrapText="1"/>
    </xf>
    <xf numFmtId="0" fontId="16" fillId="2" borderId="14" xfId="1" applyFont="1" applyFill="1" applyBorder="1" applyAlignment="1">
      <alignment vertical="center" wrapText="1"/>
    </xf>
    <xf numFmtId="0" fontId="8" fillId="2" borderId="0" xfId="1" applyFont="1" applyFill="1"/>
    <xf numFmtId="0" fontId="74" fillId="0" borderId="26" xfId="1" applyFont="1" applyBorder="1" applyAlignment="1">
      <alignment horizontal="justify" vertical="center" wrapText="1"/>
    </xf>
    <xf numFmtId="0" fontId="74" fillId="0" borderId="5" xfId="1" applyFont="1" applyBorder="1" applyAlignment="1">
      <alignment horizontal="justify" vertical="center" wrapText="1"/>
    </xf>
    <xf numFmtId="0" fontId="74" fillId="0" borderId="28" xfId="1" applyFont="1" applyBorder="1" applyAlignment="1">
      <alignment horizontal="justify" vertical="center" wrapText="1"/>
    </xf>
    <xf numFmtId="0" fontId="74" fillId="2" borderId="26" xfId="1" applyFont="1" applyFill="1" applyBorder="1" applyAlignment="1">
      <alignment horizontal="justify" vertical="center" wrapText="1"/>
    </xf>
    <xf numFmtId="0" fontId="61" fillId="0" borderId="26" xfId="1" applyFont="1" applyBorder="1" applyAlignment="1">
      <alignment horizontal="center" vertical="center"/>
    </xf>
    <xf numFmtId="171" fontId="46" fillId="2" borderId="0" xfId="69" applyNumberFormat="1" applyFont="1" applyFill="1" applyAlignment="1">
      <alignment horizontal="left" vertical="center"/>
    </xf>
    <xf numFmtId="172" fontId="46" fillId="0" borderId="0" xfId="69" applyNumberFormat="1" applyFont="1" applyAlignment="1">
      <alignment horizontal="left" vertical="center"/>
    </xf>
    <xf numFmtId="10" fontId="46" fillId="2" borderId="0" xfId="69" applyNumberFormat="1" applyFont="1" applyFill="1" applyAlignment="1">
      <alignment horizontal="left" vertical="center"/>
    </xf>
    <xf numFmtId="0" fontId="48" fillId="2" borderId="30" xfId="0" applyFont="1" applyFill="1" applyBorder="1" applyAlignment="1">
      <alignment horizontal="center" vertical="center" wrapText="1"/>
    </xf>
    <xf numFmtId="0" fontId="1" fillId="2" borderId="1" xfId="0" applyFont="1" applyFill="1" applyBorder="1" applyAlignment="1">
      <alignment horizontal="left" vertical="top"/>
    </xf>
    <xf numFmtId="0" fontId="1" fillId="2" borderId="2" xfId="0" applyFont="1" applyFill="1" applyBorder="1" applyAlignment="1">
      <alignment horizontal="left" vertical="top"/>
    </xf>
    <xf numFmtId="0" fontId="1" fillId="2" borderId="3" xfId="0" applyFont="1" applyFill="1" applyBorder="1" applyAlignment="1">
      <alignment horizontal="left" vertical="top"/>
    </xf>
    <xf numFmtId="10" fontId="77" fillId="0" borderId="0" xfId="0" applyNumberFormat="1" applyFont="1" applyAlignment="1">
      <alignment vertical="center" wrapText="1"/>
    </xf>
    <xf numFmtId="10" fontId="77" fillId="0" borderId="0" xfId="0" applyNumberFormat="1" applyFont="1" applyAlignment="1">
      <alignment vertical="top" wrapText="1"/>
    </xf>
    <xf numFmtId="10" fontId="77" fillId="2" borderId="31" xfId="0" applyNumberFormat="1" applyFont="1" applyFill="1" applyBorder="1" applyAlignment="1">
      <alignment horizontal="center" vertical="center" shrinkToFit="1"/>
    </xf>
    <xf numFmtId="10" fontId="77" fillId="0" borderId="5" xfId="0" applyNumberFormat="1" applyFont="1" applyBorder="1" applyAlignment="1">
      <alignment horizontal="center" vertical="center" shrinkToFit="1"/>
    </xf>
    <xf numFmtId="4" fontId="2" fillId="0" borderId="0" xfId="1" applyNumberFormat="1"/>
    <xf numFmtId="0" fontId="63" fillId="2" borderId="26" xfId="1" applyFont="1" applyFill="1" applyBorder="1" applyAlignment="1">
      <alignment horizontal="justify" vertical="center" wrapText="1"/>
    </xf>
    <xf numFmtId="164" fontId="4" fillId="0" borderId="0" xfId="1" applyNumberFormat="1" applyFont="1" applyAlignment="1">
      <alignment vertical="center"/>
    </xf>
    <xf numFmtId="0" fontId="63" fillId="0" borderId="26" xfId="1" applyFont="1" applyBorder="1" applyAlignment="1">
      <alignment horizontal="justify" vertical="center" wrapText="1"/>
    </xf>
    <xf numFmtId="0" fontId="79" fillId="2" borderId="3" xfId="1" applyFont="1" applyFill="1" applyBorder="1" applyAlignment="1">
      <alignment vertical="center"/>
    </xf>
    <xf numFmtId="0" fontId="30" fillId="0" borderId="0" xfId="0" applyFont="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right" vertical="center" wrapText="1"/>
    </xf>
    <xf numFmtId="0" fontId="3" fillId="8" borderId="0" xfId="0" applyFont="1" applyFill="1" applyAlignment="1">
      <alignment horizontal="center" vertical="center" wrapText="1"/>
    </xf>
    <xf numFmtId="14" fontId="25" fillId="0" borderId="0" xfId="0" applyNumberFormat="1" applyFont="1" applyAlignment="1">
      <alignment horizontal="center" vertical="center" wrapText="1"/>
    </xf>
    <xf numFmtId="0" fontId="25" fillId="0" borderId="0" xfId="0" applyFont="1" applyAlignment="1">
      <alignment horizontal="center" vertical="center" wrapText="1"/>
    </xf>
    <xf numFmtId="49" fontId="25" fillId="0" borderId="0" xfId="0" applyNumberFormat="1" applyFont="1" applyAlignment="1">
      <alignment horizontal="center" vertical="center" wrapText="1"/>
    </xf>
    <xf numFmtId="0" fontId="23" fillId="0" borderId="0" xfId="0" applyFont="1" applyAlignment="1">
      <alignment horizontal="left" vertical="center" wrapText="1"/>
    </xf>
    <xf numFmtId="0" fontId="3" fillId="12" borderId="0" xfId="1" applyFont="1" applyFill="1" applyAlignment="1">
      <alignment horizontal="left" vertical="center"/>
    </xf>
    <xf numFmtId="0" fontId="3" fillId="13" borderId="0" xfId="1" applyFont="1" applyFill="1" applyAlignment="1">
      <alignment horizontal="left" vertical="center" wrapText="1"/>
    </xf>
    <xf numFmtId="49" fontId="4" fillId="2" borderId="0" xfId="1" applyNumberFormat="1" applyFont="1" applyFill="1" applyAlignment="1">
      <alignment horizontal="center"/>
    </xf>
    <xf numFmtId="49" fontId="4" fillId="2" borderId="0" xfId="3" applyNumberFormat="1" applyFont="1" applyFill="1" applyBorder="1" applyAlignment="1">
      <alignment horizontal="center"/>
    </xf>
    <xf numFmtId="167" fontId="4" fillId="2" borderId="0" xfId="1" applyNumberFormat="1" applyFont="1" applyFill="1" applyAlignment="1">
      <alignment horizontal="center"/>
    </xf>
    <xf numFmtId="0" fontId="4" fillId="2" borderId="0" xfId="1" applyFont="1" applyFill="1" applyAlignment="1">
      <alignment horizontal="center"/>
    </xf>
    <xf numFmtId="14" fontId="4" fillId="2" borderId="0" xfId="1" applyNumberFormat="1" applyFont="1" applyFill="1" applyAlignment="1">
      <alignment horizontal="center"/>
    </xf>
    <xf numFmtId="0" fontId="33" fillId="0" borderId="0" xfId="0" applyFont="1" applyAlignment="1">
      <alignment horizontal="left" vertical="center" wrapText="1"/>
    </xf>
    <xf numFmtId="0" fontId="33" fillId="0" borderId="0" xfId="0" applyFont="1" applyAlignment="1">
      <alignment horizontal="justify" vertical="top" wrapText="1"/>
    </xf>
    <xf numFmtId="0" fontId="3" fillId="7" borderId="0" xfId="1" applyFont="1" applyFill="1" applyAlignment="1">
      <alignment horizontal="left" vertical="center" wrapText="1"/>
    </xf>
    <xf numFmtId="0" fontId="4" fillId="4" borderId="0" xfId="1" applyFont="1" applyFill="1" applyAlignment="1">
      <alignment horizontal="center" vertical="center" wrapText="1"/>
    </xf>
    <xf numFmtId="0" fontId="3" fillId="8" borderId="0" xfId="1" applyFont="1" applyFill="1" applyAlignment="1">
      <alignment horizontal="center" vertical="center" wrapText="1"/>
    </xf>
    <xf numFmtId="0" fontId="3" fillId="4" borderId="0" xfId="1" applyFont="1" applyFill="1" applyAlignment="1">
      <alignment horizontal="center" vertical="center" wrapText="1"/>
    </xf>
    <xf numFmtId="0" fontId="4" fillId="0" borderId="0" xfId="1" applyFont="1" applyAlignment="1">
      <alignment horizontal="center" vertical="center"/>
    </xf>
    <xf numFmtId="0" fontId="3" fillId="0" borderId="0" xfId="1" applyFont="1" applyAlignment="1">
      <alignment horizontal="center" vertical="center"/>
    </xf>
    <xf numFmtId="0" fontId="3" fillId="0" borderId="7" xfId="1" applyFont="1" applyBorder="1" applyAlignment="1">
      <alignment horizontal="center" vertical="center"/>
    </xf>
    <xf numFmtId="164" fontId="4" fillId="4" borderId="5" xfId="2" quotePrefix="1" applyFont="1" applyFill="1" applyBorder="1" applyAlignment="1" applyProtection="1">
      <alignment vertical="center"/>
    </xf>
    <xf numFmtId="0" fontId="18" fillId="0" borderId="0" xfId="0" applyFont="1"/>
    <xf numFmtId="17" fontId="0" fillId="0" borderId="5" xfId="0" applyNumberFormat="1" applyBorder="1"/>
    <xf numFmtId="167" fontId="0" fillId="0" borderId="5" xfId="0" applyNumberFormat="1" applyBorder="1"/>
    <xf numFmtId="167" fontId="18" fillId="0" borderId="5" xfId="0" applyNumberFormat="1" applyFont="1" applyBorder="1"/>
    <xf numFmtId="0" fontId="18" fillId="0" borderId="5" xfId="0" applyFont="1" applyBorder="1" applyAlignment="1">
      <alignment vertical="center"/>
    </xf>
    <xf numFmtId="0" fontId="79" fillId="2" borderId="1" xfId="1" applyFont="1" applyFill="1" applyBorder="1" applyAlignment="1">
      <alignment horizontal="center" vertical="center"/>
    </xf>
    <xf numFmtId="0" fontId="79" fillId="2" borderId="2" xfId="1" applyFont="1" applyFill="1" applyBorder="1" applyAlignment="1">
      <alignment horizontal="center" vertical="center"/>
    </xf>
    <xf numFmtId="0" fontId="79" fillId="2" borderId="3" xfId="1" applyFont="1" applyFill="1" applyBorder="1" applyAlignment="1">
      <alignment horizontal="center" vertical="center"/>
    </xf>
    <xf numFmtId="0" fontId="65" fillId="2" borderId="14" xfId="1" applyFont="1" applyFill="1" applyBorder="1" applyAlignment="1">
      <alignment horizontal="center" vertical="center" wrapText="1"/>
    </xf>
    <xf numFmtId="0" fontId="2" fillId="2" borderId="7" xfId="1" applyFill="1" applyBorder="1" applyAlignment="1">
      <alignment horizontal="center" vertical="center"/>
    </xf>
    <xf numFmtId="0" fontId="2" fillId="2" borderId="4" xfId="1" applyFill="1" applyBorder="1" applyAlignment="1">
      <alignment horizontal="center" vertical="center"/>
    </xf>
    <xf numFmtId="0" fontId="2" fillId="2" borderId="7" xfId="1" applyFill="1" applyBorder="1" applyAlignment="1">
      <alignment horizontal="center" vertical="center" wrapText="1"/>
    </xf>
    <xf numFmtId="0" fontId="2" fillId="2" borderId="4" xfId="1" applyFill="1" applyBorder="1" applyAlignment="1">
      <alignment horizontal="center" vertical="center" wrapText="1"/>
    </xf>
    <xf numFmtId="0" fontId="22" fillId="8" borderId="1" xfId="1" applyFont="1" applyFill="1" applyBorder="1" applyAlignment="1">
      <alignment horizontal="center" vertical="center" wrapText="1"/>
    </xf>
    <xf numFmtId="0" fontId="22" fillId="8" borderId="2" xfId="1" applyFont="1" applyFill="1" applyBorder="1" applyAlignment="1">
      <alignment horizontal="center" vertical="center" wrapText="1"/>
    </xf>
    <xf numFmtId="0" fontId="22" fillId="8" borderId="3" xfId="1" applyFont="1" applyFill="1" applyBorder="1" applyAlignment="1">
      <alignment horizontal="center" vertical="center" wrapText="1"/>
    </xf>
    <xf numFmtId="0" fontId="19" fillId="0" borderId="1" xfId="1" applyFont="1" applyBorder="1" applyAlignment="1">
      <alignment horizontal="center" vertical="center" wrapText="1"/>
    </xf>
    <xf numFmtId="0" fontId="19" fillId="0" borderId="2" xfId="1" applyFont="1" applyBorder="1" applyAlignment="1">
      <alignment horizontal="center" vertical="center" wrapText="1"/>
    </xf>
    <xf numFmtId="0" fontId="19" fillId="0" borderId="3" xfId="1" applyFont="1" applyBorder="1" applyAlignment="1">
      <alignment horizontal="center" vertical="center" wrapText="1"/>
    </xf>
    <xf numFmtId="0" fontId="22" fillId="0" borderId="5" xfId="1" applyFont="1" applyBorder="1" applyAlignment="1">
      <alignment horizontal="center" vertical="center" wrapText="1"/>
    </xf>
    <xf numFmtId="0" fontId="41" fillId="0" borderId="1" xfId="1" applyFont="1" applyBorder="1" applyAlignment="1">
      <alignment horizontal="center" vertical="center"/>
    </xf>
    <xf numFmtId="0" fontId="41" fillId="0" borderId="2" xfId="1" applyFont="1" applyBorder="1" applyAlignment="1">
      <alignment horizontal="center" vertical="center"/>
    </xf>
    <xf numFmtId="0" fontId="41" fillId="0" borderId="3" xfId="1" applyFont="1" applyBorder="1" applyAlignment="1">
      <alignment horizontal="center" vertical="center"/>
    </xf>
    <xf numFmtId="0" fontId="22" fillId="0" borderId="5" xfId="1" applyFont="1" applyBorder="1" applyAlignment="1">
      <alignment horizontal="center" vertical="center"/>
    </xf>
    <xf numFmtId="0" fontId="66" fillId="2" borderId="0" xfId="1" applyFont="1" applyFill="1" applyAlignment="1">
      <alignment horizontal="justify" vertical="center" wrapText="1"/>
    </xf>
    <xf numFmtId="0" fontId="66" fillId="2" borderId="0" xfId="1" applyFont="1" applyFill="1" applyAlignment="1">
      <alignment horizontal="center" vertical="center" wrapText="1"/>
    </xf>
    <xf numFmtId="0" fontId="16" fillId="2" borderId="0" xfId="1" applyFont="1" applyFill="1" applyAlignment="1">
      <alignment horizontal="justify" vertical="center" wrapText="1"/>
    </xf>
    <xf numFmtId="0" fontId="16" fillId="2" borderId="0" xfId="1" applyFont="1" applyFill="1" applyAlignment="1">
      <alignment horizontal="justify" vertical="justify" wrapText="1"/>
    </xf>
    <xf numFmtId="0" fontId="0" fillId="2" borderId="0" xfId="0" applyFill="1" applyAlignment="1">
      <alignment wrapText="1"/>
    </xf>
    <xf numFmtId="0" fontId="16" fillId="2" borderId="0" xfId="1" applyFont="1" applyFill="1" applyAlignment="1">
      <alignment horizontal="left" vertical="center" wrapText="1"/>
    </xf>
    <xf numFmtId="0" fontId="16" fillId="2" borderId="1" xfId="1" applyFont="1" applyFill="1" applyBorder="1" applyAlignment="1">
      <alignment horizontal="center" vertical="center" wrapText="1"/>
    </xf>
    <xf numFmtId="0" fontId="16" fillId="2" borderId="2" xfId="1" applyFont="1" applyFill="1" applyBorder="1" applyAlignment="1">
      <alignment horizontal="center" vertical="center" wrapText="1"/>
    </xf>
    <xf numFmtId="0" fontId="16" fillId="2" borderId="12" xfId="1" applyFont="1" applyFill="1" applyBorder="1" applyAlignment="1">
      <alignment horizontal="left" vertical="center" wrapText="1"/>
    </xf>
    <xf numFmtId="0" fontId="16" fillId="2" borderId="13" xfId="1" applyFont="1" applyFill="1" applyBorder="1" applyAlignment="1">
      <alignment horizontal="left" vertical="center" wrapText="1"/>
    </xf>
    <xf numFmtId="0" fontId="16" fillId="2" borderId="11" xfId="1" applyFont="1" applyFill="1" applyBorder="1" applyAlignment="1">
      <alignment horizontal="left" vertical="center" wrapText="1"/>
    </xf>
    <xf numFmtId="0" fontId="20" fillId="0" borderId="0" xfId="1" applyFont="1" applyAlignment="1">
      <alignment horizontal="left" vertical="center" wrapText="1"/>
    </xf>
    <xf numFmtId="0" fontId="16" fillId="2" borderId="18" xfId="1" applyFont="1" applyFill="1" applyBorder="1" applyAlignment="1">
      <alignment horizontal="left" vertical="center" wrapText="1"/>
    </xf>
    <xf numFmtId="0" fontId="16" fillId="2" borderId="14" xfId="1" applyFont="1" applyFill="1" applyBorder="1" applyAlignment="1">
      <alignment horizontal="left" vertical="center" wrapText="1"/>
    </xf>
    <xf numFmtId="0" fontId="20" fillId="0" borderId="14" xfId="1" applyFont="1" applyBorder="1" applyAlignment="1">
      <alignment horizontal="left" vertical="center" wrapText="1"/>
    </xf>
    <xf numFmtId="0" fontId="73" fillId="0" borderId="14" xfId="1" applyFont="1" applyBorder="1" applyAlignment="1">
      <alignment horizontal="left" vertical="center" wrapText="1"/>
    </xf>
    <xf numFmtId="0" fontId="16" fillId="2" borderId="3" xfId="1" applyFont="1" applyFill="1" applyBorder="1" applyAlignment="1">
      <alignment horizontal="center" vertical="center" wrapText="1"/>
    </xf>
    <xf numFmtId="0" fontId="16" fillId="2" borderId="0" xfId="1" applyFont="1" applyFill="1" applyAlignment="1">
      <alignment horizontal="center" vertical="center" wrapText="1"/>
    </xf>
    <xf numFmtId="0" fontId="66" fillId="2" borderId="0" xfId="1" applyFont="1" applyFill="1" applyAlignment="1">
      <alignment vertical="center" wrapText="1"/>
    </xf>
    <xf numFmtId="0" fontId="66" fillId="2" borderId="0" xfId="21" applyFont="1" applyFill="1" applyAlignment="1" applyProtection="1">
      <alignment horizontal="justify" vertical="center" wrapText="1"/>
    </xf>
    <xf numFmtId="0" fontId="22" fillId="0" borderId="1" xfId="1" applyFont="1" applyBorder="1" applyAlignment="1">
      <alignment horizontal="center" vertical="center"/>
    </xf>
    <xf numFmtId="0" fontId="22" fillId="0" borderId="2" xfId="1" applyFont="1" applyBorder="1" applyAlignment="1">
      <alignment horizontal="center" vertical="center"/>
    </xf>
    <xf numFmtId="0" fontId="22" fillId="0" borderId="3" xfId="1" applyFont="1" applyBorder="1" applyAlignment="1">
      <alignment horizontal="center" vertical="center"/>
    </xf>
    <xf numFmtId="0" fontId="16" fillId="18" borderId="0" xfId="1" applyFont="1" applyFill="1" applyAlignment="1">
      <alignment horizontal="center" vertical="center" wrapText="1"/>
    </xf>
    <xf numFmtId="0" fontId="67" fillId="0" borderId="0" xfId="1" applyFont="1" applyAlignment="1">
      <alignment horizontal="center" vertical="center"/>
    </xf>
    <xf numFmtId="0" fontId="68" fillId="2" borderId="0" xfId="1" applyFont="1" applyFill="1" applyAlignment="1">
      <alignment horizontal="left" wrapText="1"/>
    </xf>
    <xf numFmtId="0" fontId="70" fillId="2" borderId="0" xfId="1" applyFont="1" applyFill="1" applyAlignment="1">
      <alignment horizontal="left" wrapText="1"/>
    </xf>
    <xf numFmtId="0" fontId="71" fillId="2" borderId="0" xfId="1" applyFont="1" applyFill="1" applyAlignment="1">
      <alignment horizontal="left" wrapText="1"/>
    </xf>
    <xf numFmtId="0" fontId="18" fillId="0" borderId="5" xfId="0" applyFont="1" applyBorder="1" applyAlignment="1">
      <alignment horizontal="center"/>
    </xf>
    <xf numFmtId="0" fontId="18" fillId="0" borderId="14" xfId="0" applyFont="1" applyBorder="1" applyAlignment="1">
      <alignment horizontal="center" vertical="center"/>
    </xf>
    <xf numFmtId="0" fontId="50" fillId="0" borderId="0" xfId="69" applyFont="1" applyAlignment="1">
      <alignment horizontal="center" vertical="center" wrapText="1"/>
    </xf>
    <xf numFmtId="0" fontId="46" fillId="0" borderId="0" xfId="69" applyFont="1" applyAlignment="1">
      <alignment horizontal="center" vertical="center" wrapText="1"/>
    </xf>
    <xf numFmtId="0" fontId="46" fillId="0" borderId="0" xfId="69" applyFont="1" applyAlignment="1">
      <alignment horizontal="left" wrapText="1"/>
    </xf>
    <xf numFmtId="0" fontId="46" fillId="0" borderId="17" xfId="69" applyFont="1" applyBorder="1" applyAlignment="1">
      <alignment horizontal="center" vertical="center" wrapText="1"/>
    </xf>
    <xf numFmtId="0" fontId="48" fillId="0" borderId="0" xfId="69" applyFont="1" applyAlignment="1">
      <alignment horizontal="center" vertical="center" wrapText="1"/>
    </xf>
    <xf numFmtId="0" fontId="45" fillId="0" borderId="0" xfId="69" applyFont="1" applyAlignment="1">
      <alignment horizontal="center" vertical="center"/>
    </xf>
    <xf numFmtId="0" fontId="47" fillId="0" borderId="10" xfId="69" applyFont="1" applyBorder="1" applyAlignment="1">
      <alignment horizontal="center" vertical="center" wrapText="1"/>
    </xf>
    <xf numFmtId="0" fontId="46" fillId="0" borderId="15" xfId="69" applyFont="1" applyBorder="1" applyAlignment="1">
      <alignment horizontal="center" vertical="center" wrapText="1"/>
    </xf>
    <xf numFmtId="0" fontId="46" fillId="0" borderId="16" xfId="69" applyFont="1" applyBorder="1" applyAlignment="1">
      <alignment horizontal="center" vertical="center" wrapText="1"/>
    </xf>
    <xf numFmtId="0" fontId="48" fillId="0" borderId="0" xfId="69" applyFont="1" applyAlignment="1">
      <alignment horizontal="left" vertical="center" wrapText="1"/>
    </xf>
    <xf numFmtId="0" fontId="46" fillId="0" borderId="0" xfId="69" applyFont="1" applyAlignment="1">
      <alignment horizontal="left" vertical="center" wrapText="1"/>
    </xf>
    <xf numFmtId="0" fontId="50" fillId="0" borderId="0" xfId="69" applyFont="1" applyAlignment="1">
      <alignment horizontal="left" wrapText="1"/>
    </xf>
    <xf numFmtId="0" fontId="48" fillId="0" borderId="17" xfId="69" applyFont="1" applyBorder="1" applyAlignment="1">
      <alignment horizontal="center" vertical="center" wrapText="1"/>
    </xf>
    <xf numFmtId="0" fontId="50" fillId="2" borderId="0" xfId="69" applyFont="1" applyFill="1" applyAlignment="1">
      <alignment horizontal="left" vertical="center" wrapText="1"/>
    </xf>
    <xf numFmtId="0" fontId="48" fillId="0" borderId="5" xfId="69" applyFont="1" applyBorder="1" applyAlignment="1">
      <alignment horizontal="center" vertical="center" wrapText="1"/>
    </xf>
    <xf numFmtId="0" fontId="48" fillId="0" borderId="5" xfId="69" applyFont="1" applyBorder="1" applyAlignment="1">
      <alignment horizontal="justify" vertical="center" wrapText="1"/>
    </xf>
    <xf numFmtId="0" fontId="48" fillId="0" borderId="5" xfId="0" applyFont="1" applyBorder="1" applyAlignment="1">
      <alignment horizontal="center" vertical="center" wrapText="1"/>
    </xf>
    <xf numFmtId="0" fontId="47" fillId="0" borderId="5" xfId="0" applyFont="1" applyBorder="1" applyAlignment="1">
      <alignment horizontal="center" vertical="center" wrapText="1"/>
    </xf>
    <xf numFmtId="0" fontId="47" fillId="0" borderId="4" xfId="69" applyFont="1" applyBorder="1" applyAlignment="1">
      <alignment horizontal="center" vertical="center" wrapText="1"/>
    </xf>
    <xf numFmtId="0" fontId="47" fillId="0" borderId="13" xfId="0" applyFont="1" applyBorder="1" applyAlignment="1">
      <alignment horizontal="center" vertical="center" wrapText="1"/>
    </xf>
    <xf numFmtId="0" fontId="55" fillId="0" borderId="5" xfId="0" applyFont="1" applyBorder="1" applyAlignment="1">
      <alignment horizontal="center" vertical="center" wrapText="1"/>
    </xf>
    <xf numFmtId="0" fontId="56" fillId="0" borderId="5" xfId="0" applyFont="1" applyBorder="1" applyAlignment="1">
      <alignment horizontal="center" vertical="center" wrapText="1"/>
    </xf>
    <xf numFmtId="0" fontId="1" fillId="0" borderId="13" xfId="0" applyFont="1" applyBorder="1" applyAlignment="1">
      <alignment horizontal="center" vertical="center" wrapText="1"/>
    </xf>
    <xf numFmtId="0" fontId="18" fillId="0" borderId="13" xfId="0" applyFont="1" applyBorder="1" applyAlignment="1">
      <alignment horizontal="left" vertical="center" wrapText="1"/>
    </xf>
    <xf numFmtId="0" fontId="47" fillId="0" borderId="17" xfId="69" applyFont="1" applyBorder="1" applyAlignment="1">
      <alignment horizontal="center" vertical="center" wrapText="1"/>
    </xf>
    <xf numFmtId="0" fontId="47" fillId="0" borderId="0" xfId="69" applyFont="1" applyAlignment="1">
      <alignment horizontal="center" vertical="center" wrapText="1"/>
    </xf>
    <xf numFmtId="0" fontId="47" fillId="0" borderId="5" xfId="0" applyFont="1" applyBorder="1" applyAlignment="1">
      <alignment horizontal="center" vertical="top" wrapText="1"/>
    </xf>
    <xf numFmtId="8" fontId="47" fillId="0" borderId="5" xfId="0" applyNumberFormat="1" applyFont="1" applyBorder="1" applyAlignment="1">
      <alignment horizontal="center" vertical="top" wrapText="1"/>
    </xf>
    <xf numFmtId="167" fontId="47" fillId="0" borderId="5" xfId="0" applyNumberFormat="1" applyFont="1" applyBorder="1" applyAlignment="1">
      <alignment horizontal="center" vertical="top" wrapText="1"/>
    </xf>
    <xf numFmtId="0" fontId="48" fillId="0" borderId="5" xfId="0" applyFont="1" applyBorder="1" applyAlignment="1">
      <alignment horizontal="center" vertical="top" wrapText="1"/>
    </xf>
    <xf numFmtId="167" fontId="48" fillId="0" borderId="1" xfId="0" applyNumberFormat="1" applyFont="1" applyBorder="1" applyAlignment="1">
      <alignment horizontal="center" vertical="top" wrapText="1"/>
    </xf>
    <xf numFmtId="167" fontId="48" fillId="0" borderId="2" xfId="0" applyNumberFormat="1" applyFont="1" applyBorder="1" applyAlignment="1">
      <alignment horizontal="center" vertical="top" wrapText="1"/>
    </xf>
    <xf numFmtId="167" fontId="48" fillId="0" borderId="3" xfId="0" applyNumberFormat="1" applyFont="1" applyBorder="1" applyAlignment="1">
      <alignment horizontal="center" vertical="top" wrapText="1"/>
    </xf>
    <xf numFmtId="1" fontId="50" fillId="2" borderId="5" xfId="69" applyNumberFormat="1" applyFont="1" applyFill="1" applyBorder="1" applyAlignment="1">
      <alignment horizontal="center" vertical="center" shrinkToFit="1"/>
    </xf>
    <xf numFmtId="0" fontId="46" fillId="0" borderId="5" xfId="69" applyFont="1" applyBorder="1" applyAlignment="1">
      <alignment horizontal="center" vertical="top" wrapText="1"/>
    </xf>
    <xf numFmtId="167" fontId="48" fillId="0" borderId="5" xfId="69" applyNumberFormat="1" applyFont="1" applyBorder="1" applyAlignment="1">
      <alignment horizontal="center" vertical="center" wrapText="1"/>
    </xf>
    <xf numFmtId="167" fontId="47" fillId="0" borderId="5" xfId="69" applyNumberFormat="1" applyFont="1" applyBorder="1" applyAlignment="1">
      <alignment horizontal="center" vertical="center" wrapText="1"/>
    </xf>
    <xf numFmtId="0" fontId="1" fillId="0" borderId="5" xfId="0" applyFont="1" applyBorder="1" applyAlignment="1">
      <alignment horizontal="center" vertical="center" wrapText="1"/>
    </xf>
    <xf numFmtId="0" fontId="46" fillId="0" borderId="2" xfId="69" applyFont="1" applyBorder="1" applyAlignment="1">
      <alignment horizontal="center" vertical="center"/>
    </xf>
    <xf numFmtId="0" fontId="47" fillId="0" borderId="5" xfId="69" applyFont="1" applyBorder="1" applyAlignment="1">
      <alignment horizontal="center" vertical="center" wrapText="1"/>
    </xf>
    <xf numFmtId="0" fontId="47" fillId="0" borderId="5" xfId="69" applyFont="1" applyBorder="1" applyAlignment="1">
      <alignment horizontal="center" vertical="top" wrapText="1"/>
    </xf>
    <xf numFmtId="0" fontId="57" fillId="0" borderId="5" xfId="69" applyFont="1" applyBorder="1" applyAlignment="1">
      <alignment horizontal="center" vertical="top" wrapText="1"/>
    </xf>
    <xf numFmtId="0" fontId="47" fillId="0" borderId="0" xfId="0" applyFont="1" applyAlignment="1">
      <alignment horizontal="center" vertical="top" wrapText="1"/>
    </xf>
    <xf numFmtId="0" fontId="47" fillId="0" borderId="1" xfId="0" applyFont="1" applyBorder="1" applyAlignment="1">
      <alignment horizontal="center" vertical="top" wrapText="1"/>
    </xf>
    <xf numFmtId="0" fontId="47" fillId="0" borderId="2" xfId="0" applyFont="1" applyBorder="1" applyAlignment="1">
      <alignment horizontal="center" vertical="top" wrapText="1"/>
    </xf>
    <xf numFmtId="0" fontId="47" fillId="0" borderId="3" xfId="0" applyFont="1" applyBorder="1" applyAlignment="1">
      <alignment horizontal="center" vertical="top" wrapText="1"/>
    </xf>
    <xf numFmtId="0" fontId="45" fillId="0" borderId="11" xfId="69" applyFont="1" applyBorder="1" applyAlignment="1">
      <alignment horizontal="left" vertical="center"/>
    </xf>
    <xf numFmtId="0" fontId="45" fillId="0" borderId="0" xfId="69" applyFont="1" applyAlignment="1">
      <alignment horizontal="left" vertical="center"/>
    </xf>
    <xf numFmtId="0" fontId="46" fillId="0" borderId="0" xfId="69" applyFont="1" applyAlignment="1">
      <alignment horizontal="center" vertical="top" wrapText="1"/>
    </xf>
    <xf numFmtId="0" fontId="46" fillId="0" borderId="20" xfId="69" applyFont="1" applyBorder="1" applyAlignment="1">
      <alignment horizontal="center" vertical="top" wrapText="1"/>
    </xf>
    <xf numFmtId="0" fontId="46" fillId="0" borderId="0" xfId="69" applyFont="1" applyAlignment="1">
      <alignment horizontal="left" vertical="top" wrapText="1"/>
    </xf>
    <xf numFmtId="0" fontId="46" fillId="0" borderId="20" xfId="69" applyFont="1" applyBorder="1" applyAlignment="1">
      <alignment horizontal="left" vertical="top" wrapText="1"/>
    </xf>
    <xf numFmtId="0" fontId="53" fillId="0" borderId="18" xfId="0" applyFont="1" applyBorder="1" applyAlignment="1">
      <alignment horizontal="justify" vertical="center" wrapText="1"/>
    </xf>
    <xf numFmtId="0" fontId="64" fillId="0" borderId="14" xfId="0" applyFont="1" applyBorder="1" applyAlignment="1">
      <alignment horizontal="justify" vertical="center" wrapText="1"/>
    </xf>
    <xf numFmtId="0" fontId="64" fillId="0" borderId="19" xfId="0" applyFont="1" applyBorder="1" applyAlignment="1">
      <alignment horizontal="justify" vertical="center" wrapText="1"/>
    </xf>
    <xf numFmtId="0" fontId="47" fillId="0" borderId="18" xfId="0" applyFont="1" applyBorder="1" applyAlignment="1">
      <alignment horizontal="center" vertical="top" wrapText="1"/>
    </xf>
    <xf numFmtId="0" fontId="18" fillId="0" borderId="14" xfId="0" applyFont="1" applyBorder="1" applyAlignment="1">
      <alignment horizontal="center" vertical="top" wrapText="1"/>
    </xf>
    <xf numFmtId="0" fontId="18" fillId="0" borderId="19" xfId="0" applyFont="1" applyBorder="1" applyAlignment="1">
      <alignment horizontal="center" vertical="top" wrapText="1"/>
    </xf>
    <xf numFmtId="0" fontId="48" fillId="0" borderId="18" xfId="0" applyFont="1" applyBorder="1" applyAlignment="1">
      <alignment horizontal="center" vertical="top" wrapText="1"/>
    </xf>
    <xf numFmtId="0" fontId="1" fillId="0" borderId="14" xfId="0" applyFont="1" applyBorder="1" applyAlignment="1">
      <alignment horizontal="center" vertical="top" wrapText="1"/>
    </xf>
    <xf numFmtId="0" fontId="1" fillId="0" borderId="19" xfId="0" applyFont="1" applyBorder="1" applyAlignment="1">
      <alignment horizontal="center" vertical="top" wrapText="1"/>
    </xf>
    <xf numFmtId="0" fontId="48" fillId="2" borderId="5" xfId="0" applyFont="1" applyFill="1" applyBorder="1" applyAlignment="1">
      <alignment horizontal="left" vertical="center" wrapText="1"/>
    </xf>
    <xf numFmtId="0" fontId="59" fillId="2" borderId="1" xfId="0" applyFont="1" applyFill="1" applyBorder="1" applyAlignment="1">
      <alignment horizontal="justify" vertical="center" wrapText="1"/>
    </xf>
    <xf numFmtId="0" fontId="1" fillId="2" borderId="2" xfId="0" applyFont="1" applyFill="1" applyBorder="1" applyAlignment="1">
      <alignment horizontal="justify" vertical="center" wrapText="1"/>
    </xf>
    <xf numFmtId="0" fontId="1" fillId="2" borderId="3" xfId="0" applyFont="1" applyFill="1" applyBorder="1" applyAlignment="1">
      <alignment horizontal="justify" vertical="center" wrapText="1"/>
    </xf>
    <xf numFmtId="0" fontId="48" fillId="2" borderId="5" xfId="0" applyFont="1" applyFill="1" applyBorder="1" applyAlignment="1">
      <alignment horizontal="center" vertical="center" wrapText="1"/>
    </xf>
    <xf numFmtId="0" fontId="47" fillId="2" borderId="1" xfId="0" applyFont="1" applyFill="1" applyBorder="1" applyAlignment="1">
      <alignment horizontal="center" vertical="center" wrapText="1"/>
    </xf>
    <xf numFmtId="0" fontId="47" fillId="2" borderId="2" xfId="0" applyFont="1" applyFill="1" applyBorder="1" applyAlignment="1">
      <alignment horizontal="center" vertical="center" wrapText="1"/>
    </xf>
    <xf numFmtId="0" fontId="47" fillId="2" borderId="3" xfId="0" applyFont="1" applyFill="1" applyBorder="1" applyAlignment="1">
      <alignment horizontal="center" vertical="center" wrapText="1"/>
    </xf>
    <xf numFmtId="0" fontId="47" fillId="2" borderId="2" xfId="0" applyFont="1" applyFill="1" applyBorder="1" applyAlignment="1">
      <alignment horizontal="left" vertical="top" wrapText="1" indent="2"/>
    </xf>
    <xf numFmtId="0" fontId="0" fillId="14" borderId="12" xfId="0" applyFill="1" applyBorder="1" applyAlignment="1">
      <alignment horizontal="justify" vertical="justify" wrapText="1"/>
    </xf>
    <xf numFmtId="0" fontId="0" fillId="14" borderId="13" xfId="0" applyFill="1" applyBorder="1" applyAlignment="1">
      <alignment horizontal="justify" vertical="justify" wrapText="1"/>
    </xf>
    <xf numFmtId="0" fontId="0" fillId="14" borderId="6" xfId="0" applyFill="1" applyBorder="1" applyAlignment="1">
      <alignment horizontal="justify" vertical="justify" wrapText="1"/>
    </xf>
    <xf numFmtId="0" fontId="0" fillId="14" borderId="11" xfId="0" applyFill="1" applyBorder="1" applyAlignment="1">
      <alignment horizontal="justify" vertical="justify" wrapText="1"/>
    </xf>
    <xf numFmtId="0" fontId="0" fillId="14" borderId="0" xfId="0" applyFill="1" applyAlignment="1">
      <alignment horizontal="justify" vertical="justify" wrapText="1"/>
    </xf>
    <xf numFmtId="0" fontId="0" fillId="14" borderId="20" xfId="0" applyFill="1" applyBorder="1" applyAlignment="1">
      <alignment horizontal="justify" vertical="justify" wrapText="1"/>
    </xf>
    <xf numFmtId="0" fontId="0" fillId="14" borderId="18" xfId="0" applyFill="1" applyBorder="1" applyAlignment="1">
      <alignment horizontal="justify" vertical="justify" wrapText="1"/>
    </xf>
    <xf numFmtId="0" fontId="0" fillId="14" borderId="14" xfId="0" applyFill="1" applyBorder="1" applyAlignment="1">
      <alignment horizontal="justify" vertical="justify" wrapText="1"/>
    </xf>
    <xf numFmtId="0" fontId="0" fillId="14" borderId="19" xfId="0" applyFill="1" applyBorder="1" applyAlignment="1">
      <alignment horizontal="justify" vertical="justify" wrapText="1"/>
    </xf>
    <xf numFmtId="0" fontId="1" fillId="0" borderId="1" xfId="0" applyFont="1" applyBorder="1" applyAlignment="1">
      <alignment horizontal="center" vertical="top"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48" fillId="2" borderId="17" xfId="0" applyFont="1" applyFill="1" applyBorder="1" applyAlignment="1">
      <alignment horizontal="center" vertical="center" wrapText="1"/>
    </xf>
    <xf numFmtId="0" fontId="48" fillId="2" borderId="0" xfId="0" applyFont="1" applyFill="1" applyAlignment="1">
      <alignment horizontal="center" vertical="center" wrapText="1"/>
    </xf>
    <xf numFmtId="0" fontId="48" fillId="2" borderId="22" xfId="0" applyFont="1" applyFill="1" applyBorder="1" applyAlignment="1">
      <alignment horizontal="center" vertical="center" wrapText="1"/>
    </xf>
    <xf numFmtId="0" fontId="48" fillId="0" borderId="5" xfId="0" applyFont="1" applyBorder="1" applyAlignment="1">
      <alignment horizontal="justify" vertical="center" wrapText="1"/>
    </xf>
    <xf numFmtId="0" fontId="1" fillId="0" borderId="5" xfId="0" applyFont="1" applyBorder="1" applyAlignment="1">
      <alignment horizontal="justify" vertical="center" wrapText="1"/>
    </xf>
    <xf numFmtId="0" fontId="47" fillId="0" borderId="13" xfId="0" applyFont="1" applyBorder="1" applyAlignment="1">
      <alignment horizontal="center" vertical="top" wrapText="1"/>
    </xf>
    <xf numFmtId="0" fontId="1" fillId="2" borderId="5" xfId="0" applyFont="1" applyFill="1" applyBorder="1" applyAlignment="1">
      <alignment horizontal="center" vertical="center" wrapText="1"/>
    </xf>
    <xf numFmtId="0" fontId="47" fillId="0" borderId="0" xfId="0" applyFont="1" applyAlignment="1">
      <alignment horizontal="left" vertical="center" wrapText="1"/>
    </xf>
    <xf numFmtId="0" fontId="1" fillId="0" borderId="17" xfId="0" applyFont="1" applyBorder="1" applyAlignment="1">
      <alignment horizontal="center" vertical="top" wrapText="1"/>
    </xf>
    <xf numFmtId="0" fontId="1" fillId="0" borderId="0" xfId="0" applyFont="1" applyAlignment="1">
      <alignment horizontal="center" vertical="top" wrapText="1"/>
    </xf>
    <xf numFmtId="0" fontId="1" fillId="0" borderId="13" xfId="0" applyFont="1" applyBorder="1" applyAlignment="1">
      <alignment horizontal="center" vertical="top" wrapText="1"/>
    </xf>
    <xf numFmtId="0" fontId="36"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10" fontId="48" fillId="0" borderId="0" xfId="0" applyNumberFormat="1" applyFont="1" applyAlignment="1">
      <alignment horizontal="left" vertical="center" wrapText="1"/>
    </xf>
    <xf numFmtId="0" fontId="48" fillId="0" borderId="0" xfId="0" applyFont="1" applyAlignment="1">
      <alignment horizontal="left" vertical="center" wrapText="1"/>
    </xf>
    <xf numFmtId="0" fontId="48" fillId="0" borderId="0" xfId="0" applyFont="1" applyAlignment="1">
      <alignment horizontal="left" vertical="top" wrapText="1"/>
    </xf>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3" xfId="1" applyFont="1" applyBorder="1" applyAlignment="1">
      <alignment horizontal="center" vertical="center"/>
    </xf>
    <xf numFmtId="0" fontId="4" fillId="0" borderId="2" xfId="1" applyFont="1" applyBorder="1" applyAlignment="1">
      <alignment horizontal="center" vertical="center"/>
    </xf>
    <xf numFmtId="0" fontId="33" fillId="0" borderId="1" xfId="0" applyFont="1" applyBorder="1" applyAlignment="1">
      <alignment horizontal="left" vertical="center" wrapText="1"/>
    </xf>
    <xf numFmtId="0" fontId="33" fillId="0" borderId="2" xfId="0" applyFont="1" applyBorder="1" applyAlignment="1">
      <alignment horizontal="left" vertical="center" wrapText="1"/>
    </xf>
    <xf numFmtId="0" fontId="33" fillId="0" borderId="3" xfId="0" applyFont="1" applyBorder="1" applyAlignment="1">
      <alignment horizontal="left" vertical="center" wrapText="1"/>
    </xf>
    <xf numFmtId="0" fontId="3" fillId="6" borderId="5" xfId="1" applyFont="1" applyFill="1" applyBorder="1" applyAlignment="1">
      <alignment horizontal="center" vertical="center" wrapText="1"/>
    </xf>
    <xf numFmtId="0" fontId="3" fillId="8" borderId="5" xfId="1" applyFont="1" applyFill="1" applyBorder="1" applyAlignment="1">
      <alignment horizontal="center" vertical="center" wrapText="1"/>
    </xf>
    <xf numFmtId="0" fontId="3" fillId="5" borderId="5" xfId="1" applyFont="1" applyFill="1" applyBorder="1" applyAlignment="1">
      <alignment horizontal="left" vertical="center" wrapText="1"/>
    </xf>
    <xf numFmtId="0" fontId="3" fillId="4" borderId="5" xfId="1" applyFont="1" applyFill="1" applyBorder="1" applyAlignment="1">
      <alignment horizontal="left" vertical="center" wrapText="1"/>
    </xf>
    <xf numFmtId="0" fontId="3" fillId="4" borderId="5" xfId="1" applyFont="1" applyFill="1" applyBorder="1" applyAlignment="1">
      <alignment horizontal="center" vertical="center" wrapText="1"/>
    </xf>
    <xf numFmtId="0" fontId="3" fillId="4" borderId="1" xfId="1" applyFont="1" applyFill="1" applyBorder="1" applyAlignment="1">
      <alignment horizontal="center" vertical="center" wrapText="1"/>
    </xf>
    <xf numFmtId="0" fontId="3" fillId="4" borderId="2" xfId="1" applyFont="1" applyFill="1" applyBorder="1" applyAlignment="1">
      <alignment horizontal="center" vertical="center" wrapText="1"/>
    </xf>
    <xf numFmtId="0" fontId="3" fillId="4" borderId="3" xfId="1" applyFont="1" applyFill="1" applyBorder="1" applyAlignment="1">
      <alignment horizontal="center" vertical="center" wrapText="1"/>
    </xf>
    <xf numFmtId="49" fontId="4" fillId="2" borderId="5" xfId="1" applyNumberFormat="1" applyFont="1" applyFill="1" applyBorder="1" applyAlignment="1">
      <alignment horizontal="center"/>
    </xf>
    <xf numFmtId="49" fontId="4" fillId="2" borderId="5" xfId="3" applyNumberFormat="1" applyFont="1" applyFill="1" applyBorder="1" applyAlignment="1">
      <alignment horizontal="center"/>
    </xf>
    <xf numFmtId="167" fontId="4" fillId="2" borderId="5" xfId="1" applyNumberFormat="1" applyFont="1" applyFill="1" applyBorder="1" applyAlignment="1">
      <alignment horizontal="center"/>
    </xf>
    <xf numFmtId="0" fontId="4" fillId="2" borderId="5" xfId="1" applyFont="1" applyFill="1" applyBorder="1" applyAlignment="1">
      <alignment horizontal="center"/>
    </xf>
    <xf numFmtId="14" fontId="4" fillId="2" borderId="5" xfId="1" applyNumberFormat="1" applyFont="1" applyFill="1" applyBorder="1" applyAlignment="1">
      <alignment horizontal="center"/>
    </xf>
    <xf numFmtId="0" fontId="33" fillId="0" borderId="1" xfId="0" applyFont="1" applyBorder="1" applyAlignment="1">
      <alignment horizontal="justify" vertical="top" wrapText="1"/>
    </xf>
    <xf numFmtId="0" fontId="33" fillId="0" borderId="2" xfId="0" applyFont="1" applyBorder="1" applyAlignment="1">
      <alignment horizontal="justify" vertical="top" wrapText="1"/>
    </xf>
    <xf numFmtId="0" fontId="33" fillId="0" borderId="3" xfId="0" applyFont="1" applyBorder="1" applyAlignment="1">
      <alignment horizontal="justify" vertical="top" wrapText="1"/>
    </xf>
    <xf numFmtId="0" fontId="3" fillId="7"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4" fillId="4" borderId="2" xfId="1" applyFont="1" applyFill="1" applyBorder="1" applyAlignment="1">
      <alignment horizontal="center" vertical="center" wrapText="1"/>
    </xf>
    <xf numFmtId="0" fontId="4" fillId="4" borderId="3" xfId="1" applyFont="1" applyFill="1" applyBorder="1" applyAlignment="1">
      <alignment horizontal="center" vertical="center" wrapText="1"/>
    </xf>
    <xf numFmtId="0" fontId="3" fillId="13" borderId="5" xfId="1" applyFont="1" applyFill="1" applyBorder="1" applyAlignment="1">
      <alignment horizontal="left" vertical="center" wrapText="1"/>
    </xf>
    <xf numFmtId="0" fontId="30" fillId="0" borderId="5" xfId="0" applyFont="1" applyBorder="1" applyAlignment="1">
      <alignment horizontal="center" vertical="center" wrapText="1"/>
    </xf>
    <xf numFmtId="0" fontId="3" fillId="0" borderId="5" xfId="0" applyFont="1" applyBorder="1" applyAlignment="1">
      <alignment horizontal="center" vertical="center" wrapText="1"/>
    </xf>
    <xf numFmtId="0" fontId="3" fillId="0" borderId="5" xfId="0" applyFont="1" applyBorder="1" applyAlignment="1">
      <alignment horizontal="right" vertical="center" wrapText="1"/>
    </xf>
    <xf numFmtId="0" fontId="3" fillId="8" borderId="5" xfId="0" applyFont="1" applyFill="1" applyBorder="1" applyAlignment="1">
      <alignment horizontal="center" vertical="center" wrapText="1"/>
    </xf>
    <xf numFmtId="14" fontId="25" fillId="0" borderId="5" xfId="0" applyNumberFormat="1" applyFont="1" applyBorder="1" applyAlignment="1">
      <alignment horizontal="center" vertical="center" wrapText="1"/>
    </xf>
    <xf numFmtId="0" fontId="25" fillId="0" borderId="5" xfId="0" applyFont="1" applyBorder="1" applyAlignment="1">
      <alignment horizontal="center" vertical="center" wrapText="1"/>
    </xf>
    <xf numFmtId="49" fontId="25" fillId="0" borderId="5" xfId="0" applyNumberFormat="1" applyFont="1" applyBorder="1" applyAlignment="1">
      <alignment horizontal="center" vertical="center" wrapText="1"/>
    </xf>
    <xf numFmtId="0" fontId="23" fillId="0" borderId="1" xfId="0" applyFont="1" applyBorder="1" applyAlignment="1">
      <alignment horizontal="left" vertical="center" wrapText="1"/>
    </xf>
    <xf numFmtId="0" fontId="23" fillId="0" borderId="2" xfId="0" applyFont="1" applyBorder="1" applyAlignment="1">
      <alignment horizontal="left" vertical="center" wrapText="1"/>
    </xf>
    <xf numFmtId="0" fontId="23" fillId="0" borderId="3" xfId="0" applyFont="1" applyBorder="1" applyAlignment="1">
      <alignment horizontal="left" vertical="center" wrapText="1"/>
    </xf>
    <xf numFmtId="0" fontId="3" fillId="12" borderId="5" xfId="1" applyFont="1" applyFill="1" applyBorder="1" applyAlignment="1">
      <alignment horizontal="left" vertical="center"/>
    </xf>
    <xf numFmtId="0" fontId="7" fillId="0" borderId="0" xfId="1" applyFont="1" applyAlignment="1">
      <alignment horizontal="center"/>
    </xf>
    <xf numFmtId="0" fontId="61" fillId="15" borderId="26" xfId="1" applyFont="1" applyFill="1" applyBorder="1" applyAlignment="1">
      <alignment horizontal="center" vertical="center"/>
    </xf>
    <xf numFmtId="0" fontId="60" fillId="0" borderId="0" xfId="1" applyFont="1" applyAlignment="1">
      <alignment horizontal="left"/>
    </xf>
    <xf numFmtId="0" fontId="61" fillId="15" borderId="23" xfId="1" applyFont="1" applyFill="1" applyBorder="1" applyAlignment="1">
      <alignment horizontal="center" vertical="center" wrapText="1"/>
    </xf>
    <xf numFmtId="0" fontId="61" fillId="15" borderId="24" xfId="1" applyFont="1" applyFill="1" applyBorder="1" applyAlignment="1">
      <alignment horizontal="center" vertical="center" wrapText="1"/>
    </xf>
    <xf numFmtId="0" fontId="61" fillId="15" borderId="25" xfId="1" applyFont="1" applyFill="1" applyBorder="1" applyAlignment="1">
      <alignment horizontal="center" vertical="center" wrapText="1"/>
    </xf>
    <xf numFmtId="0" fontId="7" fillId="0" borderId="0" xfId="1" applyFont="1" applyAlignment="1">
      <alignment horizontal="center" vertical="center" wrapText="1"/>
    </xf>
    <xf numFmtId="0" fontId="61" fillId="15" borderId="23" xfId="1" applyFont="1" applyFill="1" applyBorder="1" applyAlignment="1">
      <alignment horizontal="center" vertical="center"/>
    </xf>
    <xf numFmtId="0" fontId="61" fillId="15" borderId="24" xfId="1" applyFont="1" applyFill="1" applyBorder="1" applyAlignment="1">
      <alignment horizontal="center" vertical="center"/>
    </xf>
    <xf numFmtId="0" fontId="61" fillId="15" borderId="25" xfId="1" applyFont="1" applyFill="1" applyBorder="1" applyAlignment="1">
      <alignment horizontal="center" vertical="center"/>
    </xf>
    <xf numFmtId="0" fontId="60" fillId="0" borderId="29" xfId="1" applyFont="1" applyBorder="1" applyAlignment="1">
      <alignment horizontal="left"/>
    </xf>
  </cellXfs>
  <cellStyles count="95">
    <cellStyle name="Euro" xfId="20" xr:uid="{00000000-0005-0000-0000-000000000000}"/>
    <cellStyle name="Hyperlink 2" xfId="4" xr:uid="{00000000-0005-0000-0000-000001000000}"/>
    <cellStyle name="Hyperlink 2 2" xfId="21" xr:uid="{00000000-0005-0000-0000-000002000000}"/>
    <cellStyle name="Hyperlink 3" xfId="22" xr:uid="{00000000-0005-0000-0000-000003000000}"/>
    <cellStyle name="Moeda 10" xfId="94" xr:uid="{00000000-0005-0000-0000-000005000000}"/>
    <cellStyle name="Moeda 2" xfId="3" xr:uid="{00000000-0005-0000-0000-000006000000}"/>
    <cellStyle name="Moeda 2 2" xfId="23" xr:uid="{00000000-0005-0000-0000-000007000000}"/>
    <cellStyle name="Moeda 2 2 2" xfId="24" xr:uid="{00000000-0005-0000-0000-000008000000}"/>
    <cellStyle name="Moeda 2 3" xfId="25" xr:uid="{00000000-0005-0000-0000-000009000000}"/>
    <cellStyle name="Moeda 2 3 2" xfId="75" xr:uid="{00000000-0005-0000-0000-00000A000000}"/>
    <cellStyle name="Moeda 2 4" xfId="26" xr:uid="{00000000-0005-0000-0000-00000B000000}"/>
    <cellStyle name="Moeda 3" xfId="5" xr:uid="{00000000-0005-0000-0000-00000C000000}"/>
    <cellStyle name="Moeda 3 2" xfId="6" xr:uid="{00000000-0005-0000-0000-00000D000000}"/>
    <cellStyle name="Moeda 4" xfId="7" xr:uid="{00000000-0005-0000-0000-00000E000000}"/>
    <cellStyle name="Moeda 4 2" xfId="27" xr:uid="{00000000-0005-0000-0000-00000F000000}"/>
    <cellStyle name="Moeda 4 3" xfId="28" xr:uid="{00000000-0005-0000-0000-000010000000}"/>
    <cellStyle name="Moeda 4 4" xfId="29" xr:uid="{00000000-0005-0000-0000-000011000000}"/>
    <cellStyle name="Moeda 4 5" xfId="30" xr:uid="{00000000-0005-0000-0000-000012000000}"/>
    <cellStyle name="Moeda 4 6" xfId="31" xr:uid="{00000000-0005-0000-0000-000013000000}"/>
    <cellStyle name="Moeda 4 7" xfId="32" xr:uid="{00000000-0005-0000-0000-000014000000}"/>
    <cellStyle name="Moeda 4 7 2" xfId="76" xr:uid="{00000000-0005-0000-0000-000015000000}"/>
    <cellStyle name="Moeda 4 8" xfId="71" xr:uid="{00000000-0005-0000-0000-000016000000}"/>
    <cellStyle name="Moeda 4_Atacadão_Vigilância - Taguatinga" xfId="33" xr:uid="{00000000-0005-0000-0000-000017000000}"/>
    <cellStyle name="Moeda 5" xfId="34" xr:uid="{00000000-0005-0000-0000-000018000000}"/>
    <cellStyle name="Moeda 5 2" xfId="77" xr:uid="{00000000-0005-0000-0000-000019000000}"/>
    <cellStyle name="Moeda 6" xfId="35" xr:uid="{00000000-0005-0000-0000-00001A000000}"/>
    <cellStyle name="Moeda 7" xfId="36" xr:uid="{00000000-0005-0000-0000-00001B000000}"/>
    <cellStyle name="Moeda 8" xfId="92" xr:uid="{00000000-0005-0000-0000-00001C000000}"/>
    <cellStyle name="Moeda 9" xfId="93" xr:uid="{00000000-0005-0000-0000-00001D000000}"/>
    <cellStyle name="Normal" xfId="0" builtinId="0"/>
    <cellStyle name="Normal 10" xfId="68" xr:uid="{00000000-0005-0000-0000-00001F000000}"/>
    <cellStyle name="Normal 10 2" xfId="90" xr:uid="{00000000-0005-0000-0000-000020000000}"/>
    <cellStyle name="Normal 2" xfId="1" xr:uid="{00000000-0005-0000-0000-000021000000}"/>
    <cellStyle name="Normal 2 2" xfId="8" xr:uid="{00000000-0005-0000-0000-000022000000}"/>
    <cellStyle name="Normal 2 3" xfId="9" xr:uid="{00000000-0005-0000-0000-000023000000}"/>
    <cellStyle name="Normal 3" xfId="10" xr:uid="{00000000-0005-0000-0000-000024000000}"/>
    <cellStyle name="Normal 3 2" xfId="11" xr:uid="{00000000-0005-0000-0000-000025000000}"/>
    <cellStyle name="Normal 3__HPlus_Vigilancia_Reajuste 2012" xfId="37" xr:uid="{00000000-0005-0000-0000-000026000000}"/>
    <cellStyle name="Normal 4" xfId="18" xr:uid="{00000000-0005-0000-0000-000027000000}"/>
    <cellStyle name="Normal 4 2" xfId="73" xr:uid="{00000000-0005-0000-0000-000028000000}"/>
    <cellStyle name="Normal 5" xfId="38" xr:uid="{00000000-0005-0000-0000-000029000000}"/>
    <cellStyle name="Normal 5 2" xfId="70" xr:uid="{00000000-0005-0000-0000-00002A000000}"/>
    <cellStyle name="Normal 6" xfId="39" xr:uid="{00000000-0005-0000-0000-00002B000000}"/>
    <cellStyle name="Normal 7" xfId="63" xr:uid="{00000000-0005-0000-0000-00002C000000}"/>
    <cellStyle name="Normal 7 2" xfId="88" xr:uid="{00000000-0005-0000-0000-00002D000000}"/>
    <cellStyle name="Normal 8" xfId="65" xr:uid="{00000000-0005-0000-0000-00002E000000}"/>
    <cellStyle name="Normal 9" xfId="67" xr:uid="{00000000-0005-0000-0000-00002F000000}"/>
    <cellStyle name="Normal 9 2" xfId="69" xr:uid="{00000000-0005-0000-0000-000030000000}"/>
    <cellStyle name="Normal 9 2 2" xfId="91" xr:uid="{00000000-0005-0000-0000-000031000000}"/>
    <cellStyle name="Porcentagem 2" xfId="12" xr:uid="{00000000-0005-0000-0000-000032000000}"/>
    <cellStyle name="Porcentagem 2 2" xfId="13" xr:uid="{00000000-0005-0000-0000-000033000000}"/>
    <cellStyle name="Porcentagem 3" xfId="14" xr:uid="{00000000-0005-0000-0000-000034000000}"/>
    <cellStyle name="Porcentagem 3 2" xfId="40" xr:uid="{00000000-0005-0000-0000-000035000000}"/>
    <cellStyle name="Porcentagem 3 3" xfId="41" xr:uid="{00000000-0005-0000-0000-000036000000}"/>
    <cellStyle name="Porcentagem 4" xfId="15" xr:uid="{00000000-0005-0000-0000-000037000000}"/>
    <cellStyle name="Porcentagem 5" xfId="17" xr:uid="{00000000-0005-0000-0000-000038000000}"/>
    <cellStyle name="Porcentagem 6" xfId="19" xr:uid="{00000000-0005-0000-0000-000039000000}"/>
    <cellStyle name="Porcentagem 6 2" xfId="74" xr:uid="{00000000-0005-0000-0000-00003A000000}"/>
    <cellStyle name="Separador de milhares 2" xfId="2" xr:uid="{00000000-0005-0000-0000-00003B000000}"/>
    <cellStyle name="Separador de milhares 2 2" xfId="16" xr:uid="{00000000-0005-0000-0000-00003C000000}"/>
    <cellStyle name="Separador de milhares 2 2 2" xfId="42" xr:uid="{00000000-0005-0000-0000-00003D000000}"/>
    <cellStyle name="Separador de milhares 2 2 2 2" xfId="78" xr:uid="{00000000-0005-0000-0000-00003E000000}"/>
    <cellStyle name="Separador de milhares 2 2 3" xfId="72" xr:uid="{00000000-0005-0000-0000-00003F000000}"/>
    <cellStyle name="Separador de milhares 2 3" xfId="43" xr:uid="{00000000-0005-0000-0000-000040000000}"/>
    <cellStyle name="Separador de milhares 2 3 2" xfId="79" xr:uid="{00000000-0005-0000-0000-000041000000}"/>
    <cellStyle name="Separador de milhares 2 4" xfId="44" xr:uid="{00000000-0005-0000-0000-000042000000}"/>
    <cellStyle name="Separador de milhares 2 4 2" xfId="80" xr:uid="{00000000-0005-0000-0000-000043000000}"/>
    <cellStyle name="Separador de milhares 2 5" xfId="64" xr:uid="{00000000-0005-0000-0000-000044000000}"/>
    <cellStyle name="Separador de milhares 2 5 2" xfId="89" xr:uid="{00000000-0005-0000-0000-000045000000}"/>
    <cellStyle name="Separador de milhares 2_Atacadão_Vigilância - Taguatinga" xfId="45" xr:uid="{00000000-0005-0000-0000-000046000000}"/>
    <cellStyle name="Separador de milhares 3" xfId="46" xr:uid="{00000000-0005-0000-0000-000047000000}"/>
    <cellStyle name="Separador de milhares 3 2" xfId="47" xr:uid="{00000000-0005-0000-0000-000048000000}"/>
    <cellStyle name="Separador de milhares 3 2 2" xfId="82" xr:uid="{00000000-0005-0000-0000-000049000000}"/>
    <cellStyle name="Separador de milhares 3 3" xfId="81" xr:uid="{00000000-0005-0000-0000-00004A000000}"/>
    <cellStyle name="Separador de milhares 4" xfId="48" xr:uid="{00000000-0005-0000-0000-00004B000000}"/>
    <cellStyle name="Separador de milhares 4 10" xfId="49" xr:uid="{00000000-0005-0000-0000-00004C000000}"/>
    <cellStyle name="Separador de milhares 4 10 2" xfId="83" xr:uid="{00000000-0005-0000-0000-00004D000000}"/>
    <cellStyle name="Separador de milhares 4 2" xfId="50" xr:uid="{00000000-0005-0000-0000-00004E000000}"/>
    <cellStyle name="Separador de milhares 4 3" xfId="51" xr:uid="{00000000-0005-0000-0000-00004F000000}"/>
    <cellStyle name="Separador de milhares 4 4" xfId="52" xr:uid="{00000000-0005-0000-0000-000050000000}"/>
    <cellStyle name="Separador de milhares 4 5" xfId="53" xr:uid="{00000000-0005-0000-0000-000051000000}"/>
    <cellStyle name="Separador de milhares 4 6" xfId="54" xr:uid="{00000000-0005-0000-0000-000052000000}"/>
    <cellStyle name="Separador de milhares 4 7" xfId="55" xr:uid="{00000000-0005-0000-0000-000053000000}"/>
    <cellStyle name="Separador de milhares 4 8" xfId="56" xr:uid="{00000000-0005-0000-0000-000054000000}"/>
    <cellStyle name="Separador de milhares 4 8 2" xfId="84" xr:uid="{00000000-0005-0000-0000-000055000000}"/>
    <cellStyle name="Separador de milhares 4 9" xfId="57" xr:uid="{00000000-0005-0000-0000-000056000000}"/>
    <cellStyle name="Separador de milhares 4 9 2" xfId="85" xr:uid="{00000000-0005-0000-0000-000057000000}"/>
    <cellStyle name="Separador de milhares 4_Atacadão_Vigilância - Taguatinga" xfId="58" xr:uid="{00000000-0005-0000-0000-000058000000}"/>
    <cellStyle name="Separador de milhares 5" xfId="59" xr:uid="{00000000-0005-0000-0000-000059000000}"/>
    <cellStyle name="Separador de milhares 5 2" xfId="86" xr:uid="{00000000-0005-0000-0000-00005A000000}"/>
    <cellStyle name="Título 1 1" xfId="60" xr:uid="{00000000-0005-0000-0000-00005B000000}"/>
    <cellStyle name="Título 1 1 1" xfId="61" xr:uid="{00000000-0005-0000-0000-00005C000000}"/>
    <cellStyle name="Título 5" xfId="66" xr:uid="{00000000-0005-0000-0000-00005D000000}"/>
    <cellStyle name="Vírgula 2" xfId="62" xr:uid="{00000000-0005-0000-0000-00005E000000}"/>
    <cellStyle name="Vírgula 2 2" xfId="87" xr:uid="{00000000-0005-0000-0000-00005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600075</xdr:colOff>
      <xdr:row>3</xdr:row>
      <xdr:rowOff>257175</xdr:rowOff>
    </xdr:to>
    <xdr:pic>
      <xdr:nvPicPr>
        <xdr:cNvPr id="2" name="Imagem 1">
          <a:extLst>
            <a:ext uri="{FF2B5EF4-FFF2-40B4-BE49-F238E27FC236}">
              <a16:creationId xmlns:a16="http://schemas.microsoft.com/office/drawing/2014/main" id="{4CBDC66C-3823-45F4-9106-3BB89ABF14E8}"/>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038225" cy="952500"/>
        </a:xfrm>
        <a:prstGeom prst="rect">
          <a:avLst/>
        </a:prstGeom>
        <a:noFill/>
        <a:ln w="9525">
          <a:noFill/>
          <a:miter lim="800000"/>
          <a:headEnd/>
          <a:tailEnd/>
        </a:ln>
      </xdr:spPr>
    </xdr:pic>
    <xdr:clientData/>
  </xdr:twoCellAnchor>
  <xdr:twoCellAnchor editAs="oneCell">
    <xdr:from>
      <xdr:col>2</xdr:col>
      <xdr:colOff>1304925</xdr:colOff>
      <xdr:row>55</xdr:row>
      <xdr:rowOff>359614</xdr:rowOff>
    </xdr:from>
    <xdr:to>
      <xdr:col>5</xdr:col>
      <xdr:colOff>664368</xdr:colOff>
      <xdr:row>61</xdr:row>
      <xdr:rowOff>76780</xdr:rowOff>
    </xdr:to>
    <xdr:pic>
      <xdr:nvPicPr>
        <xdr:cNvPr id="3" name="Imagem 2">
          <a:extLst>
            <a:ext uri="{FF2B5EF4-FFF2-40B4-BE49-F238E27FC236}">
              <a16:creationId xmlns:a16="http://schemas.microsoft.com/office/drawing/2014/main" id="{64F26818-1DFB-46EA-A169-B9625DAD2AA8}"/>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133725" y="12723064"/>
          <a:ext cx="2702718" cy="11173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1441336</xdr:colOff>
      <xdr:row>103</xdr:row>
      <xdr:rowOff>414337</xdr:rowOff>
    </xdr:from>
    <xdr:to>
      <xdr:col>7</xdr:col>
      <xdr:colOff>334054</xdr:colOff>
      <xdr:row>110</xdr:row>
      <xdr:rowOff>117556</xdr:rowOff>
    </xdr:to>
    <xdr:pic>
      <xdr:nvPicPr>
        <xdr:cNvPr id="2" name="Imagem 1">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76827" y="54638801"/>
          <a:ext cx="2702718" cy="11149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ene\Google%20Drive\COMERCIAL\VIPPIM%20VIGIL&#194;NCIA\PREG&#213;ES\2020\BRIGADA\STM\2%20-%20VIPPIM%20-%20PLANILHA%20-%20CJM%20-%20Iinici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posta Cadastro"/>
      <sheetName val="Proposta"/>
      <sheetName val="Anexo VIII"/>
      <sheetName val="44hs D"/>
      <sheetName val="12x36 DA"/>
      <sheetName val="12X36 NA"/>
      <sheetName val="44HS DA"/>
      <sheetName val="44HS DD"/>
      <sheetName val="Uniformes -IV"/>
      <sheetName val="Equipamentos-IV"/>
      <sheetName val="Anexo VI"/>
      <sheetName val="Memória de Cálculo"/>
      <sheetName val="ES Metodologi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row r="9">
          <cell r="E9">
            <v>21</v>
          </cell>
        </row>
        <row r="15">
          <cell r="F15" t="str">
            <v>R$ 5,50</v>
          </cell>
        </row>
        <row r="16">
          <cell r="F16" t="str">
            <v>R$ 5,50</v>
          </cell>
        </row>
      </sheetData>
      <sheetData sheetId="11" refreshError="1"/>
      <sheetData sheetId="1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hyperlink" Target="http://www.planalto.gov.br/ccivil_03/_Ato2019-2022/2020/Mpv/mpv932.htm" TargetMode="External"/><Relationship Id="rId3" Type="http://schemas.openxmlformats.org/officeDocument/2006/relationships/hyperlink" Target="http://www.planalto.gov.br/ccivil_03/decreto-lei/Del5452.htm" TargetMode="External"/><Relationship Id="rId7" Type="http://schemas.openxmlformats.org/officeDocument/2006/relationships/hyperlink" Target="http://www.planalto.gov.br/ccivil_03/_Ato2019-2022/2020/Mpv/mpv932.htm" TargetMode="External"/><Relationship Id="rId2" Type="http://schemas.openxmlformats.org/officeDocument/2006/relationships/hyperlink" Target="http://www.planalto.gov.br/ccivil_03/decreto-lei/Del5452.htm" TargetMode="External"/><Relationship Id="rId1" Type="http://schemas.openxmlformats.org/officeDocument/2006/relationships/hyperlink" Target="http://www.planalto.gov.br/ccivil_03/decreto-lei/Del5452.htm" TargetMode="External"/><Relationship Id="rId6" Type="http://schemas.openxmlformats.org/officeDocument/2006/relationships/hyperlink" Target="http://www.planalto.gov.br/ccivil_03/decreto-lei/Del5452.htm" TargetMode="External"/><Relationship Id="rId5" Type="http://schemas.openxmlformats.org/officeDocument/2006/relationships/hyperlink" Target="http://www.planalto.gov.br/ccivil_03/decreto-lei/Del5452.htm" TargetMode="External"/><Relationship Id="rId10" Type="http://schemas.openxmlformats.org/officeDocument/2006/relationships/drawing" Target="../drawings/drawing2.xml"/><Relationship Id="rId4" Type="http://schemas.openxmlformats.org/officeDocument/2006/relationships/hyperlink" Target="http://www.planalto.gov.br/ccivil_03/decreto-lei/Del5452.htm" TargetMode="External"/><Relationship Id="rId9"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17CB22-8EC4-4BBF-8743-8182A0155DE6}">
  <dimension ref="A1:IW27"/>
  <sheetViews>
    <sheetView view="pageBreakPreview" topLeftCell="A7" zoomScale="120" zoomScaleNormal="100" zoomScaleSheetLayoutView="120" workbookViewId="0">
      <selection activeCell="A15" sqref="A15:H20"/>
    </sheetView>
  </sheetViews>
  <sheetFormatPr defaultRowHeight="15" x14ac:dyDescent="0.2"/>
  <cols>
    <col min="1" max="1" width="6.5703125" style="2" customWidth="1"/>
    <col min="2" max="2" width="20.85546875" style="2" customWidth="1"/>
    <col min="3" max="3" width="23.140625" style="2" customWidth="1"/>
    <col min="4" max="4" width="14.5703125" style="2" customWidth="1"/>
    <col min="5" max="5" width="12.42578125" style="2" customWidth="1"/>
    <col min="6" max="6" width="12.140625" style="2" customWidth="1"/>
    <col min="7" max="7" width="15.28515625" style="2" customWidth="1"/>
    <col min="8" max="9" width="16.42578125" style="2" customWidth="1"/>
    <col min="10" max="10" width="19.140625" style="2" hidden="1" customWidth="1"/>
    <col min="11" max="11" width="14.140625" style="2" customWidth="1"/>
    <col min="12" max="12" width="11.28515625" style="2" customWidth="1"/>
    <col min="13" max="248" width="9.140625" style="2"/>
    <col min="249" max="249" width="3.28515625" style="2" customWidth="1"/>
    <col min="250" max="250" width="29" style="2" customWidth="1"/>
    <col min="251" max="251" width="14" style="2" customWidth="1"/>
    <col min="252" max="252" width="11.28515625" style="2" customWidth="1"/>
    <col min="253" max="253" width="16.7109375" style="2" customWidth="1"/>
    <col min="254" max="254" width="8.85546875" style="2" customWidth="1"/>
    <col min="255" max="255" width="29" style="2" customWidth="1"/>
    <col min="256" max="504" width="9.140625" style="2"/>
    <col min="505" max="505" width="3.28515625" style="2" customWidth="1"/>
    <col min="506" max="506" width="29" style="2" customWidth="1"/>
    <col min="507" max="507" width="14" style="2" customWidth="1"/>
    <col min="508" max="508" width="11.28515625" style="2" customWidth="1"/>
    <col min="509" max="509" width="16.7109375" style="2" customWidth="1"/>
    <col min="510" max="510" width="8.85546875" style="2" customWidth="1"/>
    <col min="511" max="511" width="29" style="2" customWidth="1"/>
    <col min="512" max="760" width="9.140625" style="2"/>
    <col min="761" max="761" width="3.28515625" style="2" customWidth="1"/>
    <col min="762" max="762" width="29" style="2" customWidth="1"/>
    <col min="763" max="763" width="14" style="2" customWidth="1"/>
    <col min="764" max="764" width="11.28515625" style="2" customWidth="1"/>
    <col min="765" max="765" width="16.7109375" style="2" customWidth="1"/>
    <col min="766" max="766" width="8.85546875" style="2" customWidth="1"/>
    <col min="767" max="767" width="29" style="2" customWidth="1"/>
    <col min="768" max="1016" width="9.140625" style="2"/>
    <col min="1017" max="1017" width="3.28515625" style="2" customWidth="1"/>
    <col min="1018" max="1018" width="29" style="2" customWidth="1"/>
    <col min="1019" max="1019" width="14" style="2" customWidth="1"/>
    <col min="1020" max="1020" width="11.28515625" style="2" customWidth="1"/>
    <col min="1021" max="1021" width="16.7109375" style="2" customWidth="1"/>
    <col min="1022" max="1022" width="8.85546875" style="2" customWidth="1"/>
    <col min="1023" max="1023" width="29" style="2" customWidth="1"/>
    <col min="1024" max="1272" width="9.140625" style="2"/>
    <col min="1273" max="1273" width="3.28515625" style="2" customWidth="1"/>
    <col min="1274" max="1274" width="29" style="2" customWidth="1"/>
    <col min="1275" max="1275" width="14" style="2" customWidth="1"/>
    <col min="1276" max="1276" width="11.28515625" style="2" customWidth="1"/>
    <col min="1277" max="1277" width="16.7109375" style="2" customWidth="1"/>
    <col min="1278" max="1278" width="8.85546875" style="2" customWidth="1"/>
    <col min="1279" max="1279" width="29" style="2" customWidth="1"/>
    <col min="1280" max="1528" width="9.140625" style="2"/>
    <col min="1529" max="1529" width="3.28515625" style="2" customWidth="1"/>
    <col min="1530" max="1530" width="29" style="2" customWidth="1"/>
    <col min="1531" max="1531" width="14" style="2" customWidth="1"/>
    <col min="1532" max="1532" width="11.28515625" style="2" customWidth="1"/>
    <col min="1533" max="1533" width="16.7109375" style="2" customWidth="1"/>
    <col min="1534" max="1534" width="8.85546875" style="2" customWidth="1"/>
    <col min="1535" max="1535" width="29" style="2" customWidth="1"/>
    <col min="1536" max="1784" width="9.140625" style="2"/>
    <col min="1785" max="1785" width="3.28515625" style="2" customWidth="1"/>
    <col min="1786" max="1786" width="29" style="2" customWidth="1"/>
    <col min="1787" max="1787" width="14" style="2" customWidth="1"/>
    <col min="1788" max="1788" width="11.28515625" style="2" customWidth="1"/>
    <col min="1789" max="1789" width="16.7109375" style="2" customWidth="1"/>
    <col min="1790" max="1790" width="8.85546875" style="2" customWidth="1"/>
    <col min="1791" max="1791" width="29" style="2" customWidth="1"/>
    <col min="1792" max="2040" width="9.140625" style="2"/>
    <col min="2041" max="2041" width="3.28515625" style="2" customWidth="1"/>
    <col min="2042" max="2042" width="29" style="2" customWidth="1"/>
    <col min="2043" max="2043" width="14" style="2" customWidth="1"/>
    <col min="2044" max="2044" width="11.28515625" style="2" customWidth="1"/>
    <col min="2045" max="2045" width="16.7109375" style="2" customWidth="1"/>
    <col min="2046" max="2046" width="8.85546875" style="2" customWidth="1"/>
    <col min="2047" max="2047" width="29" style="2" customWidth="1"/>
    <col min="2048" max="2296" width="9.140625" style="2"/>
    <col min="2297" max="2297" width="3.28515625" style="2" customWidth="1"/>
    <col min="2298" max="2298" width="29" style="2" customWidth="1"/>
    <col min="2299" max="2299" width="14" style="2" customWidth="1"/>
    <col min="2300" max="2300" width="11.28515625" style="2" customWidth="1"/>
    <col min="2301" max="2301" width="16.7109375" style="2" customWidth="1"/>
    <col min="2302" max="2302" width="8.85546875" style="2" customWidth="1"/>
    <col min="2303" max="2303" width="29" style="2" customWidth="1"/>
    <col min="2304" max="2552" width="9.140625" style="2"/>
    <col min="2553" max="2553" width="3.28515625" style="2" customWidth="1"/>
    <col min="2554" max="2554" width="29" style="2" customWidth="1"/>
    <col min="2555" max="2555" width="14" style="2" customWidth="1"/>
    <col min="2556" max="2556" width="11.28515625" style="2" customWidth="1"/>
    <col min="2557" max="2557" width="16.7109375" style="2" customWidth="1"/>
    <col min="2558" max="2558" width="8.85546875" style="2" customWidth="1"/>
    <col min="2559" max="2559" width="29" style="2" customWidth="1"/>
    <col min="2560" max="2808" width="9.140625" style="2"/>
    <col min="2809" max="2809" width="3.28515625" style="2" customWidth="1"/>
    <col min="2810" max="2810" width="29" style="2" customWidth="1"/>
    <col min="2811" max="2811" width="14" style="2" customWidth="1"/>
    <col min="2812" max="2812" width="11.28515625" style="2" customWidth="1"/>
    <col min="2813" max="2813" width="16.7109375" style="2" customWidth="1"/>
    <col min="2814" max="2814" width="8.85546875" style="2" customWidth="1"/>
    <col min="2815" max="2815" width="29" style="2" customWidth="1"/>
    <col min="2816" max="3064" width="9.140625" style="2"/>
    <col min="3065" max="3065" width="3.28515625" style="2" customWidth="1"/>
    <col min="3066" max="3066" width="29" style="2" customWidth="1"/>
    <col min="3067" max="3067" width="14" style="2" customWidth="1"/>
    <col min="3068" max="3068" width="11.28515625" style="2" customWidth="1"/>
    <col min="3069" max="3069" width="16.7109375" style="2" customWidth="1"/>
    <col min="3070" max="3070" width="8.85546875" style="2" customWidth="1"/>
    <col min="3071" max="3071" width="29" style="2" customWidth="1"/>
    <col min="3072" max="3320" width="9.140625" style="2"/>
    <col min="3321" max="3321" width="3.28515625" style="2" customWidth="1"/>
    <col min="3322" max="3322" width="29" style="2" customWidth="1"/>
    <col min="3323" max="3323" width="14" style="2" customWidth="1"/>
    <col min="3324" max="3324" width="11.28515625" style="2" customWidth="1"/>
    <col min="3325" max="3325" width="16.7109375" style="2" customWidth="1"/>
    <col min="3326" max="3326" width="8.85546875" style="2" customWidth="1"/>
    <col min="3327" max="3327" width="29" style="2" customWidth="1"/>
    <col min="3328" max="3576" width="9.140625" style="2"/>
    <col min="3577" max="3577" width="3.28515625" style="2" customWidth="1"/>
    <col min="3578" max="3578" width="29" style="2" customWidth="1"/>
    <col min="3579" max="3579" width="14" style="2" customWidth="1"/>
    <col min="3580" max="3580" width="11.28515625" style="2" customWidth="1"/>
    <col min="3581" max="3581" width="16.7109375" style="2" customWidth="1"/>
    <col min="3582" max="3582" width="8.85546875" style="2" customWidth="1"/>
    <col min="3583" max="3583" width="29" style="2" customWidth="1"/>
    <col min="3584" max="3832" width="9.140625" style="2"/>
    <col min="3833" max="3833" width="3.28515625" style="2" customWidth="1"/>
    <col min="3834" max="3834" width="29" style="2" customWidth="1"/>
    <col min="3835" max="3835" width="14" style="2" customWidth="1"/>
    <col min="3836" max="3836" width="11.28515625" style="2" customWidth="1"/>
    <col min="3837" max="3837" width="16.7109375" style="2" customWidth="1"/>
    <col min="3838" max="3838" width="8.85546875" style="2" customWidth="1"/>
    <col min="3839" max="3839" width="29" style="2" customWidth="1"/>
    <col min="3840" max="4088" width="9.140625" style="2"/>
    <col min="4089" max="4089" width="3.28515625" style="2" customWidth="1"/>
    <col min="4090" max="4090" width="29" style="2" customWidth="1"/>
    <col min="4091" max="4091" width="14" style="2" customWidth="1"/>
    <col min="4092" max="4092" width="11.28515625" style="2" customWidth="1"/>
    <col min="4093" max="4093" width="16.7109375" style="2" customWidth="1"/>
    <col min="4094" max="4094" width="8.85546875" style="2" customWidth="1"/>
    <col min="4095" max="4095" width="29" style="2" customWidth="1"/>
    <col min="4096" max="4344" width="9.140625" style="2"/>
    <col min="4345" max="4345" width="3.28515625" style="2" customWidth="1"/>
    <col min="4346" max="4346" width="29" style="2" customWidth="1"/>
    <col min="4347" max="4347" width="14" style="2" customWidth="1"/>
    <col min="4348" max="4348" width="11.28515625" style="2" customWidth="1"/>
    <col min="4349" max="4349" width="16.7109375" style="2" customWidth="1"/>
    <col min="4350" max="4350" width="8.85546875" style="2" customWidth="1"/>
    <col min="4351" max="4351" width="29" style="2" customWidth="1"/>
    <col min="4352" max="4600" width="9.140625" style="2"/>
    <col min="4601" max="4601" width="3.28515625" style="2" customWidth="1"/>
    <col min="4602" max="4602" width="29" style="2" customWidth="1"/>
    <col min="4603" max="4603" width="14" style="2" customWidth="1"/>
    <col min="4604" max="4604" width="11.28515625" style="2" customWidth="1"/>
    <col min="4605" max="4605" width="16.7109375" style="2" customWidth="1"/>
    <col min="4606" max="4606" width="8.85546875" style="2" customWidth="1"/>
    <col min="4607" max="4607" width="29" style="2" customWidth="1"/>
    <col min="4608" max="4856" width="9.140625" style="2"/>
    <col min="4857" max="4857" width="3.28515625" style="2" customWidth="1"/>
    <col min="4858" max="4858" width="29" style="2" customWidth="1"/>
    <col min="4859" max="4859" width="14" style="2" customWidth="1"/>
    <col min="4860" max="4860" width="11.28515625" style="2" customWidth="1"/>
    <col min="4861" max="4861" width="16.7109375" style="2" customWidth="1"/>
    <col min="4862" max="4862" width="8.85546875" style="2" customWidth="1"/>
    <col min="4863" max="4863" width="29" style="2" customWidth="1"/>
    <col min="4864" max="5112" width="9.140625" style="2"/>
    <col min="5113" max="5113" width="3.28515625" style="2" customWidth="1"/>
    <col min="5114" max="5114" width="29" style="2" customWidth="1"/>
    <col min="5115" max="5115" width="14" style="2" customWidth="1"/>
    <col min="5116" max="5116" width="11.28515625" style="2" customWidth="1"/>
    <col min="5117" max="5117" width="16.7109375" style="2" customWidth="1"/>
    <col min="5118" max="5118" width="8.85546875" style="2" customWidth="1"/>
    <col min="5119" max="5119" width="29" style="2" customWidth="1"/>
    <col min="5120" max="5368" width="9.140625" style="2"/>
    <col min="5369" max="5369" width="3.28515625" style="2" customWidth="1"/>
    <col min="5370" max="5370" width="29" style="2" customWidth="1"/>
    <col min="5371" max="5371" width="14" style="2" customWidth="1"/>
    <col min="5372" max="5372" width="11.28515625" style="2" customWidth="1"/>
    <col min="5373" max="5373" width="16.7109375" style="2" customWidth="1"/>
    <col min="5374" max="5374" width="8.85546875" style="2" customWidth="1"/>
    <col min="5375" max="5375" width="29" style="2" customWidth="1"/>
    <col min="5376" max="5624" width="9.140625" style="2"/>
    <col min="5625" max="5625" width="3.28515625" style="2" customWidth="1"/>
    <col min="5626" max="5626" width="29" style="2" customWidth="1"/>
    <col min="5627" max="5627" width="14" style="2" customWidth="1"/>
    <col min="5628" max="5628" width="11.28515625" style="2" customWidth="1"/>
    <col min="5629" max="5629" width="16.7109375" style="2" customWidth="1"/>
    <col min="5630" max="5630" width="8.85546875" style="2" customWidth="1"/>
    <col min="5631" max="5631" width="29" style="2" customWidth="1"/>
    <col min="5632" max="5880" width="9.140625" style="2"/>
    <col min="5881" max="5881" width="3.28515625" style="2" customWidth="1"/>
    <col min="5882" max="5882" width="29" style="2" customWidth="1"/>
    <col min="5883" max="5883" width="14" style="2" customWidth="1"/>
    <col min="5884" max="5884" width="11.28515625" style="2" customWidth="1"/>
    <col min="5885" max="5885" width="16.7109375" style="2" customWidth="1"/>
    <col min="5886" max="5886" width="8.85546875" style="2" customWidth="1"/>
    <col min="5887" max="5887" width="29" style="2" customWidth="1"/>
    <col min="5888" max="6136" width="9.140625" style="2"/>
    <col min="6137" max="6137" width="3.28515625" style="2" customWidth="1"/>
    <col min="6138" max="6138" width="29" style="2" customWidth="1"/>
    <col min="6139" max="6139" width="14" style="2" customWidth="1"/>
    <col min="6140" max="6140" width="11.28515625" style="2" customWidth="1"/>
    <col min="6141" max="6141" width="16.7109375" style="2" customWidth="1"/>
    <col min="6142" max="6142" width="8.85546875" style="2" customWidth="1"/>
    <col min="6143" max="6143" width="29" style="2" customWidth="1"/>
    <col min="6144" max="6392" width="9.140625" style="2"/>
    <col min="6393" max="6393" width="3.28515625" style="2" customWidth="1"/>
    <col min="6394" max="6394" width="29" style="2" customWidth="1"/>
    <col min="6395" max="6395" width="14" style="2" customWidth="1"/>
    <col min="6396" max="6396" width="11.28515625" style="2" customWidth="1"/>
    <col min="6397" max="6397" width="16.7109375" style="2" customWidth="1"/>
    <col min="6398" max="6398" width="8.85546875" style="2" customWidth="1"/>
    <col min="6399" max="6399" width="29" style="2" customWidth="1"/>
    <col min="6400" max="6648" width="9.140625" style="2"/>
    <col min="6649" max="6649" width="3.28515625" style="2" customWidth="1"/>
    <col min="6650" max="6650" width="29" style="2" customWidth="1"/>
    <col min="6651" max="6651" width="14" style="2" customWidth="1"/>
    <col min="6652" max="6652" width="11.28515625" style="2" customWidth="1"/>
    <col min="6653" max="6653" width="16.7109375" style="2" customWidth="1"/>
    <col min="6654" max="6654" width="8.85546875" style="2" customWidth="1"/>
    <col min="6655" max="6655" width="29" style="2" customWidth="1"/>
    <col min="6656" max="6904" width="9.140625" style="2"/>
    <col min="6905" max="6905" width="3.28515625" style="2" customWidth="1"/>
    <col min="6906" max="6906" width="29" style="2" customWidth="1"/>
    <col min="6907" max="6907" width="14" style="2" customWidth="1"/>
    <col min="6908" max="6908" width="11.28515625" style="2" customWidth="1"/>
    <col min="6909" max="6909" width="16.7109375" style="2" customWidth="1"/>
    <col min="6910" max="6910" width="8.85546875" style="2" customWidth="1"/>
    <col min="6911" max="6911" width="29" style="2" customWidth="1"/>
    <col min="6912" max="7160" width="9.140625" style="2"/>
    <col min="7161" max="7161" width="3.28515625" style="2" customWidth="1"/>
    <col min="7162" max="7162" width="29" style="2" customWidth="1"/>
    <col min="7163" max="7163" width="14" style="2" customWidth="1"/>
    <col min="7164" max="7164" width="11.28515625" style="2" customWidth="1"/>
    <col min="7165" max="7165" width="16.7109375" style="2" customWidth="1"/>
    <col min="7166" max="7166" width="8.85546875" style="2" customWidth="1"/>
    <col min="7167" max="7167" width="29" style="2" customWidth="1"/>
    <col min="7168" max="7416" width="9.140625" style="2"/>
    <col min="7417" max="7417" width="3.28515625" style="2" customWidth="1"/>
    <col min="7418" max="7418" width="29" style="2" customWidth="1"/>
    <col min="7419" max="7419" width="14" style="2" customWidth="1"/>
    <col min="7420" max="7420" width="11.28515625" style="2" customWidth="1"/>
    <col min="7421" max="7421" width="16.7109375" style="2" customWidth="1"/>
    <col min="7422" max="7422" width="8.85546875" style="2" customWidth="1"/>
    <col min="7423" max="7423" width="29" style="2" customWidth="1"/>
    <col min="7424" max="7672" width="9.140625" style="2"/>
    <col min="7673" max="7673" width="3.28515625" style="2" customWidth="1"/>
    <col min="7674" max="7674" width="29" style="2" customWidth="1"/>
    <col min="7675" max="7675" width="14" style="2" customWidth="1"/>
    <col min="7676" max="7676" width="11.28515625" style="2" customWidth="1"/>
    <col min="7677" max="7677" width="16.7109375" style="2" customWidth="1"/>
    <col min="7678" max="7678" width="8.85546875" style="2" customWidth="1"/>
    <col min="7679" max="7679" width="29" style="2" customWidth="1"/>
    <col min="7680" max="7928" width="9.140625" style="2"/>
    <col min="7929" max="7929" width="3.28515625" style="2" customWidth="1"/>
    <col min="7930" max="7930" width="29" style="2" customWidth="1"/>
    <col min="7931" max="7931" width="14" style="2" customWidth="1"/>
    <col min="7932" max="7932" width="11.28515625" style="2" customWidth="1"/>
    <col min="7933" max="7933" width="16.7109375" style="2" customWidth="1"/>
    <col min="7934" max="7934" width="8.85546875" style="2" customWidth="1"/>
    <col min="7935" max="7935" width="29" style="2" customWidth="1"/>
    <col min="7936" max="8184" width="9.140625" style="2"/>
    <col min="8185" max="8185" width="3.28515625" style="2" customWidth="1"/>
    <col min="8186" max="8186" width="29" style="2" customWidth="1"/>
    <col min="8187" max="8187" width="14" style="2" customWidth="1"/>
    <col min="8188" max="8188" width="11.28515625" style="2" customWidth="1"/>
    <col min="8189" max="8189" width="16.7109375" style="2" customWidth="1"/>
    <col min="8190" max="8190" width="8.85546875" style="2" customWidth="1"/>
    <col min="8191" max="8191" width="29" style="2" customWidth="1"/>
    <col min="8192" max="8440" width="9.140625" style="2"/>
    <col min="8441" max="8441" width="3.28515625" style="2" customWidth="1"/>
    <col min="8442" max="8442" width="29" style="2" customWidth="1"/>
    <col min="8443" max="8443" width="14" style="2" customWidth="1"/>
    <col min="8444" max="8444" width="11.28515625" style="2" customWidth="1"/>
    <col min="8445" max="8445" width="16.7109375" style="2" customWidth="1"/>
    <col min="8446" max="8446" width="8.85546875" style="2" customWidth="1"/>
    <col min="8447" max="8447" width="29" style="2" customWidth="1"/>
    <col min="8448" max="8696" width="9.140625" style="2"/>
    <col min="8697" max="8697" width="3.28515625" style="2" customWidth="1"/>
    <col min="8698" max="8698" width="29" style="2" customWidth="1"/>
    <col min="8699" max="8699" width="14" style="2" customWidth="1"/>
    <col min="8700" max="8700" width="11.28515625" style="2" customWidth="1"/>
    <col min="8701" max="8701" width="16.7109375" style="2" customWidth="1"/>
    <col min="8702" max="8702" width="8.85546875" style="2" customWidth="1"/>
    <col min="8703" max="8703" width="29" style="2" customWidth="1"/>
    <col min="8704" max="8952" width="9.140625" style="2"/>
    <col min="8953" max="8953" width="3.28515625" style="2" customWidth="1"/>
    <col min="8954" max="8954" width="29" style="2" customWidth="1"/>
    <col min="8955" max="8955" width="14" style="2" customWidth="1"/>
    <col min="8956" max="8956" width="11.28515625" style="2" customWidth="1"/>
    <col min="8957" max="8957" width="16.7109375" style="2" customWidth="1"/>
    <col min="8958" max="8958" width="8.85546875" style="2" customWidth="1"/>
    <col min="8959" max="8959" width="29" style="2" customWidth="1"/>
    <col min="8960" max="9208" width="9.140625" style="2"/>
    <col min="9209" max="9209" width="3.28515625" style="2" customWidth="1"/>
    <col min="9210" max="9210" width="29" style="2" customWidth="1"/>
    <col min="9211" max="9211" width="14" style="2" customWidth="1"/>
    <col min="9212" max="9212" width="11.28515625" style="2" customWidth="1"/>
    <col min="9213" max="9213" width="16.7109375" style="2" customWidth="1"/>
    <col min="9214" max="9214" width="8.85546875" style="2" customWidth="1"/>
    <col min="9215" max="9215" width="29" style="2" customWidth="1"/>
    <col min="9216" max="9464" width="9.140625" style="2"/>
    <col min="9465" max="9465" width="3.28515625" style="2" customWidth="1"/>
    <col min="9466" max="9466" width="29" style="2" customWidth="1"/>
    <col min="9467" max="9467" width="14" style="2" customWidth="1"/>
    <col min="9468" max="9468" width="11.28515625" style="2" customWidth="1"/>
    <col min="9469" max="9469" width="16.7109375" style="2" customWidth="1"/>
    <col min="9470" max="9470" width="8.85546875" style="2" customWidth="1"/>
    <col min="9471" max="9471" width="29" style="2" customWidth="1"/>
    <col min="9472" max="9720" width="9.140625" style="2"/>
    <col min="9721" max="9721" width="3.28515625" style="2" customWidth="1"/>
    <col min="9722" max="9722" width="29" style="2" customWidth="1"/>
    <col min="9723" max="9723" width="14" style="2" customWidth="1"/>
    <col min="9724" max="9724" width="11.28515625" style="2" customWidth="1"/>
    <col min="9725" max="9725" width="16.7109375" style="2" customWidth="1"/>
    <col min="9726" max="9726" width="8.85546875" style="2" customWidth="1"/>
    <col min="9727" max="9727" width="29" style="2" customWidth="1"/>
    <col min="9728" max="9976" width="9.140625" style="2"/>
    <col min="9977" max="9977" width="3.28515625" style="2" customWidth="1"/>
    <col min="9978" max="9978" width="29" style="2" customWidth="1"/>
    <col min="9979" max="9979" width="14" style="2" customWidth="1"/>
    <col min="9980" max="9980" width="11.28515625" style="2" customWidth="1"/>
    <col min="9981" max="9981" width="16.7109375" style="2" customWidth="1"/>
    <col min="9982" max="9982" width="8.85546875" style="2" customWidth="1"/>
    <col min="9983" max="9983" width="29" style="2" customWidth="1"/>
    <col min="9984" max="10232" width="9.140625" style="2"/>
    <col min="10233" max="10233" width="3.28515625" style="2" customWidth="1"/>
    <col min="10234" max="10234" width="29" style="2" customWidth="1"/>
    <col min="10235" max="10235" width="14" style="2" customWidth="1"/>
    <col min="10236" max="10236" width="11.28515625" style="2" customWidth="1"/>
    <col min="10237" max="10237" width="16.7109375" style="2" customWidth="1"/>
    <col min="10238" max="10238" width="8.85546875" style="2" customWidth="1"/>
    <col min="10239" max="10239" width="29" style="2" customWidth="1"/>
    <col min="10240" max="10488" width="9.140625" style="2"/>
    <col min="10489" max="10489" width="3.28515625" style="2" customWidth="1"/>
    <col min="10490" max="10490" width="29" style="2" customWidth="1"/>
    <col min="10491" max="10491" width="14" style="2" customWidth="1"/>
    <col min="10492" max="10492" width="11.28515625" style="2" customWidth="1"/>
    <col min="10493" max="10493" width="16.7109375" style="2" customWidth="1"/>
    <col min="10494" max="10494" width="8.85546875" style="2" customWidth="1"/>
    <col min="10495" max="10495" width="29" style="2" customWidth="1"/>
    <col min="10496" max="10744" width="9.140625" style="2"/>
    <col min="10745" max="10745" width="3.28515625" style="2" customWidth="1"/>
    <col min="10746" max="10746" width="29" style="2" customWidth="1"/>
    <col min="10747" max="10747" width="14" style="2" customWidth="1"/>
    <col min="10748" max="10748" width="11.28515625" style="2" customWidth="1"/>
    <col min="10749" max="10749" width="16.7109375" style="2" customWidth="1"/>
    <col min="10750" max="10750" width="8.85546875" style="2" customWidth="1"/>
    <col min="10751" max="10751" width="29" style="2" customWidth="1"/>
    <col min="10752" max="11000" width="9.140625" style="2"/>
    <col min="11001" max="11001" width="3.28515625" style="2" customWidth="1"/>
    <col min="11002" max="11002" width="29" style="2" customWidth="1"/>
    <col min="11003" max="11003" width="14" style="2" customWidth="1"/>
    <col min="11004" max="11004" width="11.28515625" style="2" customWidth="1"/>
    <col min="11005" max="11005" width="16.7109375" style="2" customWidth="1"/>
    <col min="11006" max="11006" width="8.85546875" style="2" customWidth="1"/>
    <col min="11007" max="11007" width="29" style="2" customWidth="1"/>
    <col min="11008" max="11256" width="9.140625" style="2"/>
    <col min="11257" max="11257" width="3.28515625" style="2" customWidth="1"/>
    <col min="11258" max="11258" width="29" style="2" customWidth="1"/>
    <col min="11259" max="11259" width="14" style="2" customWidth="1"/>
    <col min="11260" max="11260" width="11.28515625" style="2" customWidth="1"/>
    <col min="11261" max="11261" width="16.7109375" style="2" customWidth="1"/>
    <col min="11262" max="11262" width="8.85546875" style="2" customWidth="1"/>
    <col min="11263" max="11263" width="29" style="2" customWidth="1"/>
    <col min="11264" max="11512" width="9.140625" style="2"/>
    <col min="11513" max="11513" width="3.28515625" style="2" customWidth="1"/>
    <col min="11514" max="11514" width="29" style="2" customWidth="1"/>
    <col min="11515" max="11515" width="14" style="2" customWidth="1"/>
    <col min="11516" max="11516" width="11.28515625" style="2" customWidth="1"/>
    <col min="11517" max="11517" width="16.7109375" style="2" customWidth="1"/>
    <col min="11518" max="11518" width="8.85546875" style="2" customWidth="1"/>
    <col min="11519" max="11519" width="29" style="2" customWidth="1"/>
    <col min="11520" max="11768" width="9.140625" style="2"/>
    <col min="11769" max="11769" width="3.28515625" style="2" customWidth="1"/>
    <col min="11770" max="11770" width="29" style="2" customWidth="1"/>
    <col min="11771" max="11771" width="14" style="2" customWidth="1"/>
    <col min="11772" max="11772" width="11.28515625" style="2" customWidth="1"/>
    <col min="11773" max="11773" width="16.7109375" style="2" customWidth="1"/>
    <col min="11774" max="11774" width="8.85546875" style="2" customWidth="1"/>
    <col min="11775" max="11775" width="29" style="2" customWidth="1"/>
    <col min="11776" max="12024" width="9.140625" style="2"/>
    <col min="12025" max="12025" width="3.28515625" style="2" customWidth="1"/>
    <col min="12026" max="12026" width="29" style="2" customWidth="1"/>
    <col min="12027" max="12027" width="14" style="2" customWidth="1"/>
    <col min="12028" max="12028" width="11.28515625" style="2" customWidth="1"/>
    <col min="12029" max="12029" width="16.7109375" style="2" customWidth="1"/>
    <col min="12030" max="12030" width="8.85546875" style="2" customWidth="1"/>
    <col min="12031" max="12031" width="29" style="2" customWidth="1"/>
    <col min="12032" max="12280" width="9.140625" style="2"/>
    <col min="12281" max="12281" width="3.28515625" style="2" customWidth="1"/>
    <col min="12282" max="12282" width="29" style="2" customWidth="1"/>
    <col min="12283" max="12283" width="14" style="2" customWidth="1"/>
    <col min="12284" max="12284" width="11.28515625" style="2" customWidth="1"/>
    <col min="12285" max="12285" width="16.7109375" style="2" customWidth="1"/>
    <col min="12286" max="12286" width="8.85546875" style="2" customWidth="1"/>
    <col min="12287" max="12287" width="29" style="2" customWidth="1"/>
    <col min="12288" max="12536" width="9.140625" style="2"/>
    <col min="12537" max="12537" width="3.28515625" style="2" customWidth="1"/>
    <col min="12538" max="12538" width="29" style="2" customWidth="1"/>
    <col min="12539" max="12539" width="14" style="2" customWidth="1"/>
    <col min="12540" max="12540" width="11.28515625" style="2" customWidth="1"/>
    <col min="12541" max="12541" width="16.7109375" style="2" customWidth="1"/>
    <col min="12542" max="12542" width="8.85546875" style="2" customWidth="1"/>
    <col min="12543" max="12543" width="29" style="2" customWidth="1"/>
    <col min="12544" max="12792" width="9.140625" style="2"/>
    <col min="12793" max="12793" width="3.28515625" style="2" customWidth="1"/>
    <col min="12794" max="12794" width="29" style="2" customWidth="1"/>
    <col min="12795" max="12795" width="14" style="2" customWidth="1"/>
    <col min="12796" max="12796" width="11.28515625" style="2" customWidth="1"/>
    <col min="12797" max="12797" width="16.7109375" style="2" customWidth="1"/>
    <col min="12798" max="12798" width="8.85546875" style="2" customWidth="1"/>
    <col min="12799" max="12799" width="29" style="2" customWidth="1"/>
    <col min="12800" max="13048" width="9.140625" style="2"/>
    <col min="13049" max="13049" width="3.28515625" style="2" customWidth="1"/>
    <col min="13050" max="13050" width="29" style="2" customWidth="1"/>
    <col min="13051" max="13051" width="14" style="2" customWidth="1"/>
    <col min="13052" max="13052" width="11.28515625" style="2" customWidth="1"/>
    <col min="13053" max="13053" width="16.7109375" style="2" customWidth="1"/>
    <col min="13054" max="13054" width="8.85546875" style="2" customWidth="1"/>
    <col min="13055" max="13055" width="29" style="2" customWidth="1"/>
    <col min="13056" max="13304" width="9.140625" style="2"/>
    <col min="13305" max="13305" width="3.28515625" style="2" customWidth="1"/>
    <col min="13306" max="13306" width="29" style="2" customWidth="1"/>
    <col min="13307" max="13307" width="14" style="2" customWidth="1"/>
    <col min="13308" max="13308" width="11.28515625" style="2" customWidth="1"/>
    <col min="13309" max="13309" width="16.7109375" style="2" customWidth="1"/>
    <col min="13310" max="13310" width="8.85546875" style="2" customWidth="1"/>
    <col min="13311" max="13311" width="29" style="2" customWidth="1"/>
    <col min="13312" max="13560" width="9.140625" style="2"/>
    <col min="13561" max="13561" width="3.28515625" style="2" customWidth="1"/>
    <col min="13562" max="13562" width="29" style="2" customWidth="1"/>
    <col min="13563" max="13563" width="14" style="2" customWidth="1"/>
    <col min="13564" max="13564" width="11.28515625" style="2" customWidth="1"/>
    <col min="13565" max="13565" width="16.7109375" style="2" customWidth="1"/>
    <col min="13566" max="13566" width="8.85546875" style="2" customWidth="1"/>
    <col min="13567" max="13567" width="29" style="2" customWidth="1"/>
    <col min="13568" max="13816" width="9.140625" style="2"/>
    <col min="13817" max="13817" width="3.28515625" style="2" customWidth="1"/>
    <col min="13818" max="13818" width="29" style="2" customWidth="1"/>
    <col min="13819" max="13819" width="14" style="2" customWidth="1"/>
    <col min="13820" max="13820" width="11.28515625" style="2" customWidth="1"/>
    <col min="13821" max="13821" width="16.7109375" style="2" customWidth="1"/>
    <col min="13822" max="13822" width="8.85546875" style="2" customWidth="1"/>
    <col min="13823" max="13823" width="29" style="2" customWidth="1"/>
    <col min="13824" max="14072" width="9.140625" style="2"/>
    <col min="14073" max="14073" width="3.28515625" style="2" customWidth="1"/>
    <col min="14074" max="14074" width="29" style="2" customWidth="1"/>
    <col min="14075" max="14075" width="14" style="2" customWidth="1"/>
    <col min="14076" max="14076" width="11.28515625" style="2" customWidth="1"/>
    <col min="14077" max="14077" width="16.7109375" style="2" customWidth="1"/>
    <col min="14078" max="14078" width="8.85546875" style="2" customWidth="1"/>
    <col min="14079" max="14079" width="29" style="2" customWidth="1"/>
    <col min="14080" max="14328" width="9.140625" style="2"/>
    <col min="14329" max="14329" width="3.28515625" style="2" customWidth="1"/>
    <col min="14330" max="14330" width="29" style="2" customWidth="1"/>
    <col min="14331" max="14331" width="14" style="2" customWidth="1"/>
    <col min="14332" max="14332" width="11.28515625" style="2" customWidth="1"/>
    <col min="14333" max="14333" width="16.7109375" style="2" customWidth="1"/>
    <col min="14334" max="14334" width="8.85546875" style="2" customWidth="1"/>
    <col min="14335" max="14335" width="29" style="2" customWidth="1"/>
    <col min="14336" max="14584" width="9.140625" style="2"/>
    <col min="14585" max="14585" width="3.28515625" style="2" customWidth="1"/>
    <col min="14586" max="14586" width="29" style="2" customWidth="1"/>
    <col min="14587" max="14587" width="14" style="2" customWidth="1"/>
    <col min="14588" max="14588" width="11.28515625" style="2" customWidth="1"/>
    <col min="14589" max="14589" width="16.7109375" style="2" customWidth="1"/>
    <col min="14590" max="14590" width="8.85546875" style="2" customWidth="1"/>
    <col min="14591" max="14591" width="29" style="2" customWidth="1"/>
    <col min="14592" max="14840" width="9.140625" style="2"/>
    <col min="14841" max="14841" width="3.28515625" style="2" customWidth="1"/>
    <col min="14842" max="14842" width="29" style="2" customWidth="1"/>
    <col min="14843" max="14843" width="14" style="2" customWidth="1"/>
    <col min="14844" max="14844" width="11.28515625" style="2" customWidth="1"/>
    <col min="14845" max="14845" width="16.7109375" style="2" customWidth="1"/>
    <col min="14846" max="14846" width="8.85546875" style="2" customWidth="1"/>
    <col min="14847" max="14847" width="29" style="2" customWidth="1"/>
    <col min="14848" max="15096" width="9.140625" style="2"/>
    <col min="15097" max="15097" width="3.28515625" style="2" customWidth="1"/>
    <col min="15098" max="15098" width="29" style="2" customWidth="1"/>
    <col min="15099" max="15099" width="14" style="2" customWidth="1"/>
    <col min="15100" max="15100" width="11.28515625" style="2" customWidth="1"/>
    <col min="15101" max="15101" width="16.7109375" style="2" customWidth="1"/>
    <col min="15102" max="15102" width="8.85546875" style="2" customWidth="1"/>
    <col min="15103" max="15103" width="29" style="2" customWidth="1"/>
    <col min="15104" max="15352" width="9.140625" style="2"/>
    <col min="15353" max="15353" width="3.28515625" style="2" customWidth="1"/>
    <col min="15354" max="15354" width="29" style="2" customWidth="1"/>
    <col min="15355" max="15355" width="14" style="2" customWidth="1"/>
    <col min="15356" max="15356" width="11.28515625" style="2" customWidth="1"/>
    <col min="15357" max="15357" width="16.7109375" style="2" customWidth="1"/>
    <col min="15358" max="15358" width="8.85546875" style="2" customWidth="1"/>
    <col min="15359" max="15359" width="29" style="2" customWidth="1"/>
    <col min="15360" max="15608" width="9.140625" style="2"/>
    <col min="15609" max="15609" width="3.28515625" style="2" customWidth="1"/>
    <col min="15610" max="15610" width="29" style="2" customWidth="1"/>
    <col min="15611" max="15611" width="14" style="2" customWidth="1"/>
    <col min="15612" max="15612" width="11.28515625" style="2" customWidth="1"/>
    <col min="15613" max="15613" width="16.7109375" style="2" customWidth="1"/>
    <col min="15614" max="15614" width="8.85546875" style="2" customWidth="1"/>
    <col min="15615" max="15615" width="29" style="2" customWidth="1"/>
    <col min="15616" max="15864" width="9.140625" style="2"/>
    <col min="15865" max="15865" width="3.28515625" style="2" customWidth="1"/>
    <col min="15866" max="15866" width="29" style="2" customWidth="1"/>
    <col min="15867" max="15867" width="14" style="2" customWidth="1"/>
    <col min="15868" max="15868" width="11.28515625" style="2" customWidth="1"/>
    <col min="15869" max="15869" width="16.7109375" style="2" customWidth="1"/>
    <col min="15870" max="15870" width="8.85546875" style="2" customWidth="1"/>
    <col min="15871" max="15871" width="29" style="2" customWidth="1"/>
    <col min="15872" max="16120" width="9.140625" style="2"/>
    <col min="16121" max="16121" width="3.28515625" style="2" customWidth="1"/>
    <col min="16122" max="16122" width="29" style="2" customWidth="1"/>
    <col min="16123" max="16123" width="14" style="2" customWidth="1"/>
    <col min="16124" max="16124" width="11.28515625" style="2" customWidth="1"/>
    <col min="16125" max="16125" width="16.7109375" style="2" customWidth="1"/>
    <col min="16126" max="16126" width="8.85546875" style="2" customWidth="1"/>
    <col min="16127" max="16127" width="29" style="2" customWidth="1"/>
    <col min="16128" max="16384" width="9.140625" style="2"/>
  </cols>
  <sheetData>
    <row r="1" spans="1:257" ht="15.75" x14ac:dyDescent="0.2">
      <c r="B1" s="79"/>
      <c r="C1" s="79"/>
      <c r="D1" s="79"/>
      <c r="E1" s="79"/>
      <c r="F1" s="79"/>
      <c r="G1" s="79"/>
      <c r="H1" s="79"/>
      <c r="I1" s="79"/>
      <c r="J1" s="79"/>
    </row>
    <row r="2" spans="1:257" ht="38.25" customHeight="1" x14ac:dyDescent="0.2">
      <c r="A2" s="222" t="s">
        <v>345</v>
      </c>
      <c r="B2" s="222"/>
      <c r="C2" s="222"/>
      <c r="D2" s="222"/>
      <c r="E2" s="222"/>
      <c r="F2" s="222"/>
      <c r="G2" s="222"/>
      <c r="H2" s="222"/>
      <c r="I2" s="222"/>
      <c r="J2" s="222"/>
    </row>
    <row r="3" spans="1:257" s="63" customFormat="1" ht="30" customHeight="1" x14ac:dyDescent="0.2">
      <c r="A3" s="219" t="s">
        <v>441</v>
      </c>
      <c r="B3" s="220"/>
      <c r="C3" s="220"/>
      <c r="D3" s="220"/>
      <c r="E3" s="220"/>
      <c r="F3" s="220"/>
      <c r="G3" s="220"/>
      <c r="H3" s="220"/>
      <c r="I3" s="221"/>
      <c r="J3" s="76" t="s">
        <v>100</v>
      </c>
    </row>
    <row r="4" spans="1:257" s="63" customFormat="1" ht="45" x14ac:dyDescent="0.2">
      <c r="A4" s="72" t="s">
        <v>119</v>
      </c>
      <c r="B4" s="73" t="s">
        <v>223</v>
      </c>
      <c r="C4" s="74" t="s">
        <v>224</v>
      </c>
      <c r="D4" s="74" t="s">
        <v>225</v>
      </c>
      <c r="E4" s="74" t="s">
        <v>216</v>
      </c>
      <c r="F4" s="74" t="s">
        <v>123</v>
      </c>
      <c r="G4" s="74" t="s">
        <v>92</v>
      </c>
      <c r="H4" s="74" t="s">
        <v>93</v>
      </c>
      <c r="I4" s="74" t="s">
        <v>387</v>
      </c>
      <c r="J4" s="76" t="s">
        <v>100</v>
      </c>
    </row>
    <row r="5" spans="1:257" s="63" customFormat="1" ht="25.5" x14ac:dyDescent="0.2">
      <c r="A5" s="223">
        <v>1</v>
      </c>
      <c r="B5" s="225" t="s">
        <v>226</v>
      </c>
      <c r="C5" s="77" t="s">
        <v>230</v>
      </c>
      <c r="D5" s="77" t="s">
        <v>231</v>
      </c>
      <c r="E5" s="77">
        <v>6</v>
      </c>
      <c r="F5" s="78">
        <f>E5*2</f>
        <v>12</v>
      </c>
      <c r="G5" s="85">
        <f ca="1">Diurno!C136</f>
        <v>18924.41088389331</v>
      </c>
      <c r="H5" s="85">
        <f ca="1">G5*E5</f>
        <v>113546.46530335986</v>
      </c>
      <c r="I5" s="85">
        <f t="shared" ref="I5:I11" ca="1" si="0">H5*12</f>
        <v>1362557.5836403184</v>
      </c>
      <c r="J5" s="92"/>
      <c r="K5" s="63">
        <v>4</v>
      </c>
      <c r="L5" s="85">
        <f ca="1">K5*G5</f>
        <v>75697.643535573239</v>
      </c>
    </row>
    <row r="6" spans="1:257" s="63" customFormat="1" ht="25.5" x14ac:dyDescent="0.2">
      <c r="A6" s="224"/>
      <c r="B6" s="226"/>
      <c r="C6" s="77" t="s">
        <v>230</v>
      </c>
      <c r="D6" s="77" t="s">
        <v>419</v>
      </c>
      <c r="E6" s="77">
        <v>2</v>
      </c>
      <c r="F6" s="78">
        <v>4</v>
      </c>
      <c r="G6" s="85">
        <f ca="1">Noturno!C136</f>
        <v>20942.033192981609</v>
      </c>
      <c r="H6" s="85">
        <f ca="1">G6*E6</f>
        <v>41884.066385963219</v>
      </c>
      <c r="I6" s="85">
        <f t="shared" ca="1" si="0"/>
        <v>502608.79663155862</v>
      </c>
      <c r="J6" s="92"/>
      <c r="K6" s="63">
        <v>2</v>
      </c>
      <c r="L6" s="85">
        <f ca="1">K6*G6</f>
        <v>41884.066385963219</v>
      </c>
    </row>
    <row r="7" spans="1:257" s="63" customFormat="1" ht="25.5" x14ac:dyDescent="0.2">
      <c r="A7" s="153">
        <v>2</v>
      </c>
      <c r="B7" s="77" t="s">
        <v>227</v>
      </c>
      <c r="C7" s="77" t="s">
        <v>230</v>
      </c>
      <c r="D7" s="77" t="s">
        <v>231</v>
      </c>
      <c r="E7" s="77">
        <v>2</v>
      </c>
      <c r="F7" s="78">
        <v>4</v>
      </c>
      <c r="G7" s="85">
        <f ca="1">Diurno!C136</f>
        <v>18924.41088389331</v>
      </c>
      <c r="H7" s="85">
        <f ca="1">G7*E7</f>
        <v>37848.82176778662</v>
      </c>
      <c r="I7" s="85">
        <f t="shared" ca="1" si="0"/>
        <v>454185.86121343944</v>
      </c>
      <c r="J7" s="92"/>
      <c r="L7" s="85">
        <f ca="1">SUM(L5:L6)</f>
        <v>117581.70992153646</v>
      </c>
    </row>
    <row r="8" spans="1:257" s="63" customFormat="1" ht="25.5" x14ac:dyDescent="0.2">
      <c r="A8" s="153">
        <v>3</v>
      </c>
      <c r="B8" s="77" t="s">
        <v>228</v>
      </c>
      <c r="C8" s="77" t="s">
        <v>230</v>
      </c>
      <c r="D8" s="77" t="s">
        <v>231</v>
      </c>
      <c r="E8" s="77">
        <v>2</v>
      </c>
      <c r="F8" s="78">
        <f>E8*2</f>
        <v>4</v>
      </c>
      <c r="G8" s="85">
        <f ca="1">Diurno!C136</f>
        <v>18924.41088389331</v>
      </c>
      <c r="H8" s="85">
        <f ca="1">G8*E8</f>
        <v>37848.82176778662</v>
      </c>
      <c r="I8" s="85">
        <f t="shared" ca="1" si="0"/>
        <v>454185.86121343944</v>
      </c>
      <c r="J8" s="92"/>
      <c r="L8" s="85">
        <f ca="1">L7*25.45%</f>
        <v>29924.545175031028</v>
      </c>
    </row>
    <row r="9" spans="1:257" s="63" customFormat="1" ht="25.5" x14ac:dyDescent="0.2">
      <c r="A9" s="153">
        <v>4</v>
      </c>
      <c r="B9" s="77" t="s">
        <v>229</v>
      </c>
      <c r="C9" s="77" t="s">
        <v>230</v>
      </c>
      <c r="D9" s="77" t="s">
        <v>231</v>
      </c>
      <c r="E9" s="77">
        <v>2</v>
      </c>
      <c r="F9" s="78">
        <f>E9*2</f>
        <v>4</v>
      </c>
      <c r="G9" s="85">
        <f ca="1">Diurno!C136</f>
        <v>18924.41088389331</v>
      </c>
      <c r="H9" s="85">
        <f ca="1">G9*E9</f>
        <v>37848.82176778662</v>
      </c>
      <c r="I9" s="85">
        <f t="shared" ca="1" si="0"/>
        <v>454185.86121343944</v>
      </c>
      <c r="J9" s="92"/>
      <c r="L9" s="149">
        <f ca="1">L7-L8</f>
        <v>87657.164746505427</v>
      </c>
    </row>
    <row r="10" spans="1:257" s="63" customFormat="1" ht="18" x14ac:dyDescent="0.2">
      <c r="A10" s="153">
        <v>5</v>
      </c>
      <c r="B10" s="77"/>
      <c r="C10" s="77" t="s">
        <v>438</v>
      </c>
      <c r="D10" s="77" t="s">
        <v>231</v>
      </c>
      <c r="E10" s="77"/>
      <c r="F10" s="78">
        <v>24</v>
      </c>
      <c r="G10" s="85">
        <f>Diurno!C147</f>
        <v>860.56</v>
      </c>
      <c r="H10" s="85">
        <f>G10*F10</f>
        <v>20653.439999999999</v>
      </c>
      <c r="I10" s="85">
        <f t="shared" si="0"/>
        <v>247841.27999999997</v>
      </c>
      <c r="J10" s="92"/>
      <c r="L10" s="63">
        <f ca="1">L9*0.5%</f>
        <v>438.28582373252715</v>
      </c>
    </row>
    <row r="11" spans="1:257" s="63" customFormat="1" ht="18" x14ac:dyDescent="0.2">
      <c r="A11" s="153">
        <v>5</v>
      </c>
      <c r="B11" s="77"/>
      <c r="C11" s="77" t="s">
        <v>439</v>
      </c>
      <c r="D11" s="77" t="s">
        <v>419</v>
      </c>
      <c r="E11" s="77"/>
      <c r="F11" s="78">
        <v>4</v>
      </c>
      <c r="G11" s="85">
        <f>Noturno!C148</f>
        <v>874.10359999999991</v>
      </c>
      <c r="H11" s="85">
        <f>G11*F11</f>
        <v>3496.4143999999997</v>
      </c>
      <c r="I11" s="85">
        <f t="shared" si="0"/>
        <v>41956.972799999996</v>
      </c>
      <c r="J11" s="92"/>
    </row>
    <row r="12" spans="1:257" s="63" customFormat="1" ht="15.75" customHeight="1" x14ac:dyDescent="0.2">
      <c r="A12" s="227" t="s">
        <v>121</v>
      </c>
      <c r="B12" s="228"/>
      <c r="C12" s="228"/>
      <c r="D12" s="229"/>
      <c r="E12" s="84">
        <f>SUM(E5:E10)</f>
        <v>14</v>
      </c>
      <c r="F12" s="84">
        <f>SUM(F5:F9)</f>
        <v>28</v>
      </c>
      <c r="G12" s="93"/>
      <c r="H12" s="86">
        <f ca="1">SUM(H5:H11)</f>
        <v>293126.85139268299</v>
      </c>
      <c r="I12" s="86">
        <f ca="1">SUM(I5:I11)</f>
        <v>3517522.2167121954</v>
      </c>
      <c r="J12" s="87" t="e">
        <f>SUM(#REF!)</f>
        <v>#REF!</v>
      </c>
      <c r="K12" s="63">
        <f ca="1">H12*25.45%</f>
        <v>74600.783679437824</v>
      </c>
    </row>
    <row r="13" spans="1:257" s="63" customFormat="1" ht="15" customHeight="1" x14ac:dyDescent="0.2">
      <c r="A13" s="230"/>
      <c r="B13" s="231"/>
      <c r="C13" s="231"/>
      <c r="D13" s="231"/>
      <c r="E13" s="231"/>
      <c r="F13" s="231"/>
      <c r="G13" s="231"/>
      <c r="H13" s="231"/>
      <c r="I13" s="231"/>
      <c r="J13" s="232"/>
      <c r="K13" s="149">
        <f ca="1">H12-K12</f>
        <v>218526.06771324517</v>
      </c>
      <c r="L13" s="64"/>
      <c r="M13" s="64"/>
      <c r="N13" s="64"/>
      <c r="O13" s="64"/>
      <c r="P13" s="64"/>
      <c r="Q13" s="64"/>
      <c r="R13" s="64"/>
      <c r="S13" s="64"/>
      <c r="T13" s="64"/>
      <c r="U13" s="64"/>
      <c r="V13" s="64"/>
      <c r="W13" s="64"/>
      <c r="X13" s="64"/>
      <c r="Y13" s="64"/>
      <c r="Z13" s="64"/>
      <c r="AA13" s="64"/>
      <c r="AB13" s="64"/>
      <c r="AC13" s="64"/>
      <c r="AD13" s="64"/>
      <c r="AE13" s="64"/>
      <c r="AF13" s="64"/>
      <c r="AG13" s="64"/>
      <c r="AH13" s="64"/>
      <c r="AI13" s="64"/>
      <c r="AJ13" s="64"/>
      <c r="AK13" s="64"/>
      <c r="AL13" s="64"/>
      <c r="AM13" s="64"/>
      <c r="AN13" s="64"/>
      <c r="AO13" s="64"/>
      <c r="AP13" s="64"/>
      <c r="AQ13" s="64"/>
      <c r="AR13" s="64"/>
      <c r="AS13" s="64"/>
      <c r="AT13" s="64"/>
      <c r="AU13" s="64"/>
      <c r="AV13" s="64"/>
      <c r="AW13" s="64"/>
      <c r="AX13" s="64"/>
      <c r="AY13" s="64"/>
      <c r="AZ13" s="64"/>
      <c r="BA13" s="64"/>
      <c r="BB13" s="64"/>
      <c r="BC13" s="64"/>
      <c r="BD13" s="64"/>
      <c r="BE13" s="64"/>
      <c r="BF13" s="64"/>
      <c r="BG13" s="64"/>
      <c r="BH13" s="64"/>
      <c r="BI13" s="64"/>
      <c r="BJ13" s="64"/>
      <c r="BK13" s="64"/>
      <c r="BL13" s="64"/>
      <c r="BM13" s="64"/>
      <c r="BN13" s="64"/>
      <c r="BO13" s="64"/>
      <c r="BP13" s="64"/>
      <c r="BQ13" s="64"/>
      <c r="BR13" s="64"/>
      <c r="BS13" s="64"/>
      <c r="BT13" s="64"/>
      <c r="BU13" s="64"/>
      <c r="BV13" s="64"/>
      <c r="BW13" s="64"/>
      <c r="BX13" s="64"/>
      <c r="BY13" s="64"/>
      <c r="BZ13" s="64"/>
      <c r="CA13" s="64"/>
      <c r="CB13" s="64"/>
      <c r="CC13" s="64"/>
      <c r="CD13" s="64"/>
      <c r="CE13" s="64"/>
      <c r="CF13" s="64"/>
      <c r="CG13" s="64"/>
      <c r="CH13" s="64"/>
      <c r="CI13" s="64"/>
      <c r="CJ13" s="64"/>
      <c r="CK13" s="64"/>
      <c r="CL13" s="64"/>
      <c r="CM13" s="64"/>
      <c r="CN13" s="64"/>
      <c r="CO13" s="64"/>
      <c r="CP13" s="64"/>
      <c r="CQ13" s="64"/>
      <c r="CR13" s="64"/>
      <c r="CS13" s="64"/>
      <c r="CT13" s="64"/>
      <c r="CU13" s="64"/>
      <c r="CV13" s="64"/>
      <c r="CW13" s="64"/>
      <c r="CX13" s="64"/>
      <c r="CY13" s="64"/>
      <c r="CZ13" s="64"/>
      <c r="DA13" s="64"/>
      <c r="DB13" s="64"/>
      <c r="DC13" s="64"/>
      <c r="DD13" s="64"/>
      <c r="DE13" s="64"/>
      <c r="DF13" s="64"/>
      <c r="DG13" s="64"/>
      <c r="DH13" s="64"/>
      <c r="DI13" s="64"/>
      <c r="DJ13" s="64"/>
      <c r="DK13" s="64"/>
      <c r="DL13" s="64"/>
      <c r="DM13" s="64"/>
      <c r="DN13" s="64"/>
      <c r="DO13" s="64"/>
      <c r="DP13" s="64"/>
      <c r="DQ13" s="64"/>
      <c r="DR13" s="64"/>
      <c r="DS13" s="64"/>
      <c r="DT13" s="64"/>
      <c r="DU13" s="64"/>
      <c r="DV13" s="64"/>
      <c r="DW13" s="64"/>
      <c r="DX13" s="64"/>
      <c r="DY13" s="64"/>
      <c r="DZ13" s="64"/>
      <c r="EA13" s="64"/>
      <c r="EB13" s="64"/>
      <c r="EC13" s="64"/>
      <c r="ED13" s="64"/>
      <c r="EE13" s="64"/>
      <c r="EF13" s="64"/>
      <c r="EG13" s="64"/>
      <c r="EH13" s="64"/>
      <c r="EI13" s="64"/>
      <c r="EJ13" s="64"/>
      <c r="EK13" s="64"/>
      <c r="EL13" s="64"/>
      <c r="EM13" s="64"/>
      <c r="EN13" s="64"/>
      <c r="EO13" s="64"/>
      <c r="EP13" s="64"/>
      <c r="EQ13" s="64"/>
      <c r="ER13" s="64"/>
      <c r="ES13" s="64"/>
      <c r="ET13" s="64"/>
      <c r="EU13" s="64"/>
      <c r="EV13" s="64"/>
      <c r="EW13" s="64"/>
      <c r="EX13" s="64"/>
      <c r="EY13" s="64"/>
      <c r="EZ13" s="64"/>
      <c r="FA13" s="64"/>
      <c r="FB13" s="64"/>
      <c r="FC13" s="64"/>
      <c r="FD13" s="64"/>
      <c r="FE13" s="64"/>
      <c r="FF13" s="64"/>
      <c r="FG13" s="64"/>
      <c r="FH13" s="64"/>
      <c r="FI13" s="64"/>
      <c r="FJ13" s="64"/>
      <c r="FK13" s="64"/>
      <c r="FL13" s="64"/>
      <c r="FM13" s="64"/>
      <c r="FN13" s="64"/>
      <c r="FO13" s="64"/>
      <c r="FP13" s="64"/>
      <c r="FQ13" s="64"/>
      <c r="FR13" s="64"/>
      <c r="FS13" s="64"/>
      <c r="FT13" s="64"/>
      <c r="FU13" s="64"/>
      <c r="FV13" s="64"/>
      <c r="FW13" s="64"/>
      <c r="FX13" s="64"/>
      <c r="FY13" s="64"/>
      <c r="FZ13" s="64"/>
      <c r="GA13" s="64"/>
      <c r="GB13" s="64"/>
      <c r="GC13" s="64"/>
      <c r="GD13" s="64"/>
      <c r="GE13" s="64"/>
      <c r="GF13" s="64"/>
      <c r="GG13" s="64"/>
      <c r="GH13" s="64"/>
      <c r="GI13" s="64"/>
      <c r="GJ13" s="64"/>
      <c r="GK13" s="64"/>
      <c r="GL13" s="64"/>
      <c r="GM13" s="64"/>
      <c r="GN13" s="64"/>
      <c r="GO13" s="64"/>
      <c r="GP13" s="64"/>
      <c r="GQ13" s="64"/>
      <c r="GR13" s="64"/>
      <c r="GS13" s="64"/>
      <c r="GT13" s="64"/>
      <c r="GU13" s="64"/>
      <c r="GV13" s="64"/>
      <c r="GW13" s="64"/>
      <c r="GX13" s="64"/>
      <c r="GY13" s="64"/>
      <c r="GZ13" s="64"/>
      <c r="HA13" s="64"/>
      <c r="HB13" s="64"/>
      <c r="HC13" s="64"/>
      <c r="HD13" s="64"/>
      <c r="HE13" s="64"/>
      <c r="HF13" s="64"/>
      <c r="HG13" s="64"/>
      <c r="HH13" s="64"/>
      <c r="HI13" s="64"/>
      <c r="HJ13" s="64"/>
      <c r="HK13" s="64"/>
      <c r="HL13" s="64"/>
      <c r="HM13" s="64"/>
      <c r="HN13" s="64"/>
      <c r="HO13" s="64"/>
      <c r="HP13" s="64"/>
      <c r="HQ13" s="64"/>
      <c r="HR13" s="64"/>
      <c r="HS13" s="64"/>
      <c r="HT13" s="64"/>
      <c r="HU13" s="64"/>
      <c r="HV13" s="64"/>
      <c r="HW13" s="64"/>
      <c r="HX13" s="64"/>
      <c r="HY13" s="64"/>
      <c r="HZ13" s="64"/>
      <c r="IA13" s="64"/>
      <c r="IB13" s="64"/>
      <c r="IC13" s="64"/>
      <c r="ID13" s="64"/>
      <c r="IE13" s="64"/>
      <c r="IF13" s="64"/>
      <c r="IG13" s="64"/>
      <c r="IH13" s="64"/>
      <c r="II13" s="64"/>
      <c r="IJ13" s="64"/>
      <c r="IK13" s="64"/>
      <c r="IL13" s="64"/>
      <c r="IM13" s="64"/>
      <c r="IN13" s="64"/>
      <c r="IO13" s="64"/>
      <c r="IP13" s="64"/>
      <c r="IQ13" s="64"/>
      <c r="IR13" s="64"/>
      <c r="IS13" s="64"/>
      <c r="IT13" s="64"/>
      <c r="IU13" s="64"/>
      <c r="IV13" s="64"/>
      <c r="IW13" s="64"/>
    </row>
    <row r="14" spans="1:257" s="63" customFormat="1" ht="30" customHeight="1" x14ac:dyDescent="0.2">
      <c r="A14" s="219" t="s">
        <v>443</v>
      </c>
      <c r="B14" s="220"/>
      <c r="C14" s="220"/>
      <c r="D14" s="220"/>
      <c r="E14" s="220"/>
      <c r="F14" s="220"/>
      <c r="G14" s="220"/>
      <c r="H14" s="220"/>
      <c r="I14" s="188"/>
      <c r="J14" s="76" t="s">
        <v>100</v>
      </c>
      <c r="K14" s="63">
        <f ca="1">K13*0.5%</f>
        <v>1092.6303385662259</v>
      </c>
    </row>
    <row r="15" spans="1:257" s="63" customFormat="1" ht="45" x14ac:dyDescent="0.2">
      <c r="A15" s="72" t="s">
        <v>119</v>
      </c>
      <c r="B15" s="73" t="s">
        <v>223</v>
      </c>
      <c r="C15" s="74" t="s">
        <v>224</v>
      </c>
      <c r="D15" s="74" t="s">
        <v>225</v>
      </c>
      <c r="E15" s="74" t="s">
        <v>216</v>
      </c>
      <c r="F15" s="74" t="s">
        <v>123</v>
      </c>
      <c r="G15" s="74" t="s">
        <v>92</v>
      </c>
      <c r="H15" s="74" t="s">
        <v>93</v>
      </c>
      <c r="I15" s="74" t="s">
        <v>387</v>
      </c>
      <c r="J15" s="76" t="s">
        <v>100</v>
      </c>
      <c r="K15" s="63">
        <f ca="1">K14-436</f>
        <v>656.63033856622587</v>
      </c>
    </row>
    <row r="16" spans="1:257" s="63" customFormat="1" ht="25.5" x14ac:dyDescent="0.2">
      <c r="A16" s="223">
        <v>1</v>
      </c>
      <c r="B16" s="225" t="s">
        <v>226</v>
      </c>
      <c r="C16" s="77" t="s">
        <v>230</v>
      </c>
      <c r="D16" s="77" t="s">
        <v>231</v>
      </c>
      <c r="E16" s="77">
        <v>4</v>
      </c>
      <c r="F16" s="78">
        <f>E16*2</f>
        <v>8</v>
      </c>
      <c r="G16" s="85">
        <f ca="1">G5</f>
        <v>18924.41088389331</v>
      </c>
      <c r="H16" s="85">
        <f ca="1">G16*E16</f>
        <v>75697.643535573239</v>
      </c>
      <c r="I16" s="85">
        <f t="shared" ref="I16:I19" ca="1" si="1">H16*12</f>
        <v>908371.72242687887</v>
      </c>
      <c r="J16" s="92"/>
      <c r="K16" s="63">
        <v>4</v>
      </c>
      <c r="L16" s="85">
        <f ca="1">K16*G16</f>
        <v>75697.643535573239</v>
      </c>
    </row>
    <row r="17" spans="1:257" s="63" customFormat="1" ht="25.5" x14ac:dyDescent="0.2">
      <c r="A17" s="224"/>
      <c r="B17" s="226"/>
      <c r="C17" s="77" t="s">
        <v>230</v>
      </c>
      <c r="D17" s="77" t="s">
        <v>419</v>
      </c>
      <c r="E17" s="77">
        <v>2</v>
      </c>
      <c r="F17" s="78">
        <v>4</v>
      </c>
      <c r="G17" s="85">
        <f ca="1">G6</f>
        <v>20942.033192981609</v>
      </c>
      <c r="H17" s="85">
        <f ca="1">G17*E17</f>
        <v>41884.066385963219</v>
      </c>
      <c r="I17" s="85">
        <f t="shared" ca="1" si="1"/>
        <v>502608.79663155862</v>
      </c>
      <c r="J17" s="92"/>
      <c r="K17" s="63">
        <v>2</v>
      </c>
      <c r="L17" s="85">
        <f ca="1">K17*G17</f>
        <v>41884.066385963219</v>
      </c>
    </row>
    <row r="18" spans="1:257" s="63" customFormat="1" ht="18" x14ac:dyDescent="0.2">
      <c r="A18" s="153">
        <v>5</v>
      </c>
      <c r="B18" s="77"/>
      <c r="C18" s="77" t="s">
        <v>438</v>
      </c>
      <c r="D18" s="77" t="s">
        <v>231</v>
      </c>
      <c r="E18" s="77"/>
      <c r="F18" s="78">
        <v>8</v>
      </c>
      <c r="G18" s="85">
        <f>G10</f>
        <v>860.56</v>
      </c>
      <c r="H18" s="85">
        <f>G18*F18</f>
        <v>6884.48</v>
      </c>
      <c r="I18" s="85">
        <f t="shared" si="1"/>
        <v>82613.759999999995</v>
      </c>
      <c r="J18" s="92"/>
      <c r="L18" s="63" t="e">
        <f>#REF!*0.5%</f>
        <v>#REF!</v>
      </c>
    </row>
    <row r="19" spans="1:257" s="63" customFormat="1" ht="18" x14ac:dyDescent="0.2">
      <c r="A19" s="153">
        <v>5</v>
      </c>
      <c r="B19" s="77"/>
      <c r="C19" s="77" t="s">
        <v>439</v>
      </c>
      <c r="D19" s="77" t="s">
        <v>419</v>
      </c>
      <c r="E19" s="77"/>
      <c r="F19" s="78">
        <v>4</v>
      </c>
      <c r="G19" s="85">
        <f>G11</f>
        <v>874.10359999999991</v>
      </c>
      <c r="H19" s="85">
        <f>G19*F19-0.01</f>
        <v>3496.4043999999994</v>
      </c>
      <c r="I19" s="85">
        <f t="shared" si="1"/>
        <v>41956.852799999993</v>
      </c>
      <c r="J19" s="92"/>
    </row>
    <row r="20" spans="1:257" s="63" customFormat="1" ht="15.75" customHeight="1" x14ac:dyDescent="0.2">
      <c r="A20" s="227" t="s">
        <v>121</v>
      </c>
      <c r="B20" s="228"/>
      <c r="C20" s="228"/>
      <c r="D20" s="229"/>
      <c r="E20" s="84">
        <f>SUM(E16:E18)</f>
        <v>6</v>
      </c>
      <c r="F20" s="84">
        <f>SUM(F16:F17)</f>
        <v>12</v>
      </c>
      <c r="G20" s="93">
        <f ca="1">SUM(G16:G19)</f>
        <v>41601.107676874919</v>
      </c>
      <c r="H20" s="86">
        <f ca="1">SUM(H16:H19)</f>
        <v>127962.59432153645</v>
      </c>
      <c r="I20" s="86">
        <f ca="1">SUM(I16:I19)</f>
        <v>1535551.1318584376</v>
      </c>
      <c r="J20" s="87" t="e">
        <f>SUM(#REF!)</f>
        <v>#REF!</v>
      </c>
      <c r="K20" s="63">
        <f ca="1">H20*25.45%</f>
        <v>32566.480254831029</v>
      </c>
    </row>
    <row r="21" spans="1:257" s="63" customFormat="1" ht="18" customHeight="1" x14ac:dyDescent="0.2">
      <c r="A21" s="233" t="s">
        <v>66</v>
      </c>
      <c r="B21" s="233"/>
      <c r="C21" s="233"/>
      <c r="D21" s="233"/>
      <c r="E21" s="233"/>
      <c r="F21" s="233"/>
      <c r="G21" s="233"/>
      <c r="H21" s="233"/>
      <c r="I21" s="90">
        <f ca="1">H12</f>
        <v>293126.85139268299</v>
      </c>
      <c r="J21" s="65" t="e">
        <f>#REF!</f>
        <v>#REF!</v>
      </c>
      <c r="K21" s="149">
        <f ca="1">H20-K20</f>
        <v>95396.114066705428</v>
      </c>
      <c r="L21" s="64"/>
      <c r="M21" s="64"/>
      <c r="N21" s="64"/>
      <c r="O21" s="64"/>
      <c r="P21" s="64"/>
      <c r="Q21" s="64"/>
      <c r="R21" s="64"/>
      <c r="S21" s="64"/>
      <c r="T21" s="64"/>
      <c r="U21" s="64"/>
      <c r="V21" s="64"/>
      <c r="W21" s="64"/>
      <c r="X21" s="64"/>
      <c r="Y21" s="64"/>
      <c r="Z21" s="64"/>
      <c r="AA21" s="64"/>
      <c r="AB21" s="64"/>
      <c r="AC21" s="64"/>
      <c r="AD21" s="64"/>
      <c r="AE21" s="64"/>
      <c r="AF21" s="64"/>
      <c r="AG21" s="64"/>
      <c r="AH21" s="64"/>
      <c r="AI21" s="64"/>
      <c r="AJ21" s="64"/>
      <c r="AK21" s="64"/>
      <c r="AL21" s="64"/>
      <c r="AM21" s="64"/>
      <c r="AN21" s="64"/>
      <c r="AO21" s="64"/>
      <c r="AP21" s="64"/>
      <c r="AQ21" s="64"/>
      <c r="AR21" s="64"/>
      <c r="AS21" s="64"/>
      <c r="AT21" s="64"/>
      <c r="AU21" s="64"/>
      <c r="AV21" s="64"/>
      <c r="AW21" s="64"/>
      <c r="AX21" s="64"/>
      <c r="AY21" s="64"/>
      <c r="AZ21" s="64"/>
      <c r="BA21" s="64"/>
      <c r="BB21" s="64"/>
      <c r="BC21" s="64"/>
      <c r="BD21" s="64"/>
      <c r="BE21" s="64"/>
      <c r="BF21" s="64"/>
      <c r="BG21" s="64"/>
      <c r="BH21" s="64"/>
      <c r="BI21" s="64"/>
      <c r="BJ21" s="64"/>
      <c r="BK21" s="64"/>
      <c r="BL21" s="64"/>
      <c r="BM21" s="64"/>
      <c r="BN21" s="64"/>
      <c r="BO21" s="64"/>
      <c r="BP21" s="64"/>
      <c r="BQ21" s="64"/>
      <c r="BR21" s="64"/>
      <c r="BS21" s="64"/>
      <c r="BT21" s="64"/>
      <c r="BU21" s="64"/>
      <c r="BV21" s="64"/>
      <c r="BW21" s="64"/>
      <c r="BX21" s="64"/>
      <c r="BY21" s="64"/>
      <c r="BZ21" s="64"/>
      <c r="CA21" s="64"/>
      <c r="CB21" s="64"/>
      <c r="CC21" s="64"/>
      <c r="CD21" s="64"/>
      <c r="CE21" s="64"/>
      <c r="CF21" s="64"/>
      <c r="CG21" s="64"/>
      <c r="CH21" s="64"/>
      <c r="CI21" s="64"/>
      <c r="CJ21" s="64"/>
      <c r="CK21" s="64"/>
      <c r="CL21" s="64"/>
      <c r="CM21" s="64"/>
      <c r="CN21" s="64"/>
      <c r="CO21" s="64"/>
      <c r="CP21" s="64"/>
      <c r="CQ21" s="64"/>
      <c r="CR21" s="64"/>
      <c r="CS21" s="64"/>
      <c r="CT21" s="64"/>
      <c r="CU21" s="64"/>
      <c r="CV21" s="64"/>
      <c r="CW21" s="64"/>
      <c r="CX21" s="64"/>
      <c r="CY21" s="64"/>
      <c r="CZ21" s="64"/>
      <c r="DA21" s="64"/>
      <c r="DB21" s="64"/>
      <c r="DC21" s="64"/>
      <c r="DD21" s="64"/>
      <c r="DE21" s="64"/>
      <c r="DF21" s="64"/>
      <c r="DG21" s="64"/>
      <c r="DH21" s="64"/>
      <c r="DI21" s="64"/>
      <c r="DJ21" s="64"/>
      <c r="DK21" s="64"/>
      <c r="DL21" s="64"/>
      <c r="DM21" s="64"/>
      <c r="DN21" s="64"/>
      <c r="DO21" s="64"/>
      <c r="DP21" s="64"/>
      <c r="DQ21" s="64"/>
      <c r="DR21" s="64"/>
      <c r="DS21" s="64"/>
      <c r="DT21" s="64"/>
      <c r="DU21" s="64"/>
      <c r="DV21" s="64"/>
      <c r="DW21" s="64"/>
      <c r="DX21" s="64"/>
      <c r="DY21" s="64"/>
      <c r="DZ21" s="64"/>
      <c r="EA21" s="64"/>
      <c r="EB21" s="64"/>
      <c r="EC21" s="64"/>
      <c r="ED21" s="64"/>
      <c r="EE21" s="64"/>
      <c r="EF21" s="64"/>
      <c r="EG21" s="64"/>
      <c r="EH21" s="64"/>
      <c r="EI21" s="64"/>
      <c r="EJ21" s="64"/>
      <c r="EK21" s="64"/>
      <c r="EL21" s="64"/>
      <c r="EM21" s="64"/>
      <c r="EN21" s="64"/>
      <c r="EO21" s="64"/>
      <c r="EP21" s="64"/>
      <c r="EQ21" s="64"/>
      <c r="ER21" s="64"/>
      <c r="ES21" s="64"/>
      <c r="ET21" s="64"/>
      <c r="EU21" s="64"/>
      <c r="EV21" s="64"/>
      <c r="EW21" s="64"/>
      <c r="EX21" s="64"/>
      <c r="EY21" s="64"/>
      <c r="EZ21" s="64"/>
      <c r="FA21" s="64"/>
      <c r="FB21" s="64"/>
      <c r="FC21" s="64"/>
      <c r="FD21" s="64"/>
      <c r="FE21" s="64"/>
      <c r="FF21" s="64"/>
      <c r="FG21" s="64"/>
      <c r="FH21" s="64"/>
      <c r="FI21" s="64"/>
      <c r="FJ21" s="64"/>
      <c r="FK21" s="64"/>
      <c r="FL21" s="64"/>
      <c r="FM21" s="64"/>
      <c r="FN21" s="64"/>
      <c r="FO21" s="64"/>
      <c r="FP21" s="64"/>
      <c r="FQ21" s="64"/>
      <c r="FR21" s="64"/>
      <c r="FS21" s="64"/>
      <c r="FT21" s="64"/>
      <c r="FU21" s="64"/>
      <c r="FV21" s="64"/>
      <c r="FW21" s="64"/>
      <c r="FX21" s="64"/>
      <c r="FY21" s="64"/>
      <c r="FZ21" s="64"/>
      <c r="GA21" s="64"/>
      <c r="GB21" s="64"/>
      <c r="GC21" s="64"/>
      <c r="GD21" s="64"/>
      <c r="GE21" s="64"/>
      <c r="GF21" s="64"/>
      <c r="GG21" s="64"/>
      <c r="GH21" s="64"/>
      <c r="GI21" s="64"/>
      <c r="GJ21" s="64"/>
      <c r="GK21" s="64"/>
      <c r="GL21" s="64"/>
      <c r="GM21" s="64"/>
      <c r="GN21" s="64"/>
      <c r="GO21" s="64"/>
      <c r="GP21" s="64"/>
      <c r="GQ21" s="64"/>
      <c r="GR21" s="64"/>
      <c r="GS21" s="64"/>
      <c r="GT21" s="64"/>
      <c r="GU21" s="64"/>
      <c r="GV21" s="64"/>
      <c r="GW21" s="64"/>
      <c r="GX21" s="64"/>
      <c r="GY21" s="64"/>
      <c r="GZ21" s="64"/>
      <c r="HA21" s="64"/>
      <c r="HB21" s="64"/>
      <c r="HC21" s="64"/>
      <c r="HD21" s="64"/>
      <c r="HE21" s="64"/>
      <c r="HF21" s="64"/>
      <c r="HG21" s="64"/>
      <c r="HH21" s="64"/>
      <c r="HI21" s="64"/>
      <c r="HJ21" s="64"/>
      <c r="HK21" s="64"/>
      <c r="HL21" s="64"/>
      <c r="HM21" s="64"/>
      <c r="HN21" s="64"/>
      <c r="HO21" s="64"/>
      <c r="HP21" s="64"/>
      <c r="HQ21" s="64"/>
      <c r="HR21" s="64"/>
      <c r="HS21" s="64"/>
      <c r="HT21" s="64"/>
      <c r="HU21" s="64"/>
      <c r="HV21" s="64"/>
      <c r="HW21" s="64"/>
      <c r="HX21" s="64"/>
      <c r="HY21" s="64"/>
      <c r="HZ21" s="64"/>
      <c r="IA21" s="64"/>
      <c r="IB21" s="64"/>
      <c r="IC21" s="64"/>
      <c r="ID21" s="64"/>
      <c r="IE21" s="64"/>
      <c r="IF21" s="64"/>
      <c r="IG21" s="64"/>
      <c r="IH21" s="64"/>
      <c r="II21" s="64"/>
      <c r="IJ21" s="64"/>
      <c r="IK21" s="64"/>
      <c r="IL21" s="64"/>
      <c r="IM21" s="64"/>
      <c r="IN21" s="64"/>
      <c r="IO21" s="64"/>
      <c r="IP21" s="64"/>
      <c r="IQ21" s="64"/>
      <c r="IR21" s="64"/>
      <c r="IS21" s="64"/>
      <c r="IT21" s="64"/>
      <c r="IU21" s="64"/>
      <c r="IV21" s="64"/>
      <c r="IW21" s="64"/>
    </row>
    <row r="22" spans="1:257" s="63" customFormat="1" ht="30" customHeight="1" x14ac:dyDescent="0.2">
      <c r="A22" s="219" t="s">
        <v>442</v>
      </c>
      <c r="B22" s="220"/>
      <c r="C22" s="220"/>
      <c r="D22" s="220"/>
      <c r="E22" s="220"/>
      <c r="F22" s="220"/>
      <c r="G22" s="220"/>
      <c r="H22" s="220"/>
      <c r="I22" s="221"/>
      <c r="J22" s="76" t="s">
        <v>100</v>
      </c>
      <c r="K22" s="63">
        <f ca="1">K21*0.5%</f>
        <v>476.98057033352717</v>
      </c>
    </row>
    <row r="23" spans="1:257" s="63" customFormat="1" ht="4.5" customHeight="1" x14ac:dyDescent="0.2">
      <c r="A23" s="234"/>
      <c r="B23" s="235"/>
      <c r="C23" s="235"/>
      <c r="D23" s="235"/>
      <c r="E23" s="235"/>
      <c r="F23" s="235"/>
      <c r="G23" s="235"/>
      <c r="H23" s="235"/>
      <c r="I23" s="235"/>
      <c r="J23" s="236"/>
      <c r="K23" s="64"/>
      <c r="L23" s="64"/>
      <c r="M23" s="64"/>
      <c r="N23" s="64"/>
      <c r="O23" s="64"/>
      <c r="P23" s="64"/>
      <c r="Q23" s="64"/>
      <c r="R23" s="64"/>
      <c r="S23" s="64"/>
      <c r="T23" s="64"/>
      <c r="U23" s="64"/>
      <c r="V23" s="64"/>
      <c r="W23" s="64"/>
      <c r="X23" s="64"/>
      <c r="Y23" s="64"/>
      <c r="Z23" s="64"/>
      <c r="AA23" s="64"/>
      <c r="AB23" s="64"/>
      <c r="AC23" s="64"/>
      <c r="AD23" s="64"/>
      <c r="AE23" s="64"/>
      <c r="AF23" s="64"/>
      <c r="AG23" s="64"/>
      <c r="AH23" s="64"/>
      <c r="AI23" s="64"/>
      <c r="AJ23" s="64"/>
      <c r="AK23" s="64"/>
      <c r="AL23" s="64"/>
      <c r="AM23" s="64"/>
      <c r="AN23" s="64"/>
      <c r="AO23" s="64"/>
      <c r="AP23" s="64"/>
      <c r="AQ23" s="64"/>
      <c r="AR23" s="64"/>
      <c r="AS23" s="64"/>
      <c r="AT23" s="64"/>
      <c r="AU23" s="64"/>
      <c r="AV23" s="64"/>
      <c r="AW23" s="64"/>
      <c r="AX23" s="64"/>
      <c r="AY23" s="64"/>
      <c r="AZ23" s="64"/>
      <c r="BA23" s="64"/>
      <c r="BB23" s="64"/>
      <c r="BC23" s="64"/>
      <c r="BD23" s="64"/>
      <c r="BE23" s="64"/>
      <c r="BF23" s="64"/>
      <c r="BG23" s="64"/>
      <c r="BH23" s="64"/>
      <c r="BI23" s="64"/>
      <c r="BJ23" s="64"/>
      <c r="BK23" s="64"/>
      <c r="BL23" s="64"/>
      <c r="BM23" s="64"/>
      <c r="BN23" s="64"/>
      <c r="BO23" s="64"/>
      <c r="BP23" s="64"/>
      <c r="BQ23" s="64"/>
      <c r="BR23" s="64"/>
      <c r="BS23" s="64"/>
      <c r="BT23" s="64"/>
      <c r="BU23" s="64"/>
      <c r="BV23" s="64"/>
      <c r="BW23" s="64"/>
      <c r="BX23" s="64"/>
      <c r="BY23" s="64"/>
      <c r="BZ23" s="64"/>
      <c r="CA23" s="64"/>
      <c r="CB23" s="64"/>
      <c r="CC23" s="64"/>
      <c r="CD23" s="64"/>
      <c r="CE23" s="64"/>
      <c r="CF23" s="64"/>
      <c r="CG23" s="64"/>
      <c r="CH23" s="64"/>
      <c r="CI23" s="64"/>
      <c r="CJ23" s="64"/>
      <c r="CK23" s="64"/>
      <c r="CL23" s="64"/>
      <c r="CM23" s="64"/>
      <c r="CN23" s="64"/>
      <c r="CO23" s="64"/>
      <c r="CP23" s="64"/>
      <c r="CQ23" s="64"/>
      <c r="CR23" s="64"/>
      <c r="CS23" s="64"/>
      <c r="CT23" s="64"/>
      <c r="CU23" s="64"/>
      <c r="CV23" s="64"/>
      <c r="CW23" s="64"/>
      <c r="CX23" s="64"/>
      <c r="CY23" s="64"/>
      <c r="CZ23" s="64"/>
      <c r="DA23" s="64"/>
      <c r="DB23" s="64"/>
      <c r="DC23" s="64"/>
      <c r="DD23" s="64"/>
      <c r="DE23" s="64"/>
      <c r="DF23" s="64"/>
      <c r="DG23" s="64"/>
      <c r="DH23" s="64"/>
      <c r="DI23" s="64"/>
      <c r="DJ23" s="64"/>
      <c r="DK23" s="64"/>
      <c r="DL23" s="64"/>
      <c r="DM23" s="64"/>
      <c r="DN23" s="64"/>
      <c r="DO23" s="64"/>
      <c r="DP23" s="64"/>
      <c r="DQ23" s="64"/>
      <c r="DR23" s="64"/>
      <c r="DS23" s="64"/>
      <c r="DT23" s="64"/>
      <c r="DU23" s="64"/>
      <c r="DV23" s="64"/>
      <c r="DW23" s="64"/>
      <c r="DX23" s="64"/>
      <c r="DY23" s="64"/>
      <c r="DZ23" s="64"/>
      <c r="EA23" s="64"/>
      <c r="EB23" s="64"/>
      <c r="EC23" s="64"/>
      <c r="ED23" s="64"/>
      <c r="EE23" s="64"/>
      <c r="EF23" s="64"/>
      <c r="EG23" s="64"/>
      <c r="EH23" s="64"/>
      <c r="EI23" s="64"/>
      <c r="EJ23" s="64"/>
      <c r="EK23" s="64"/>
      <c r="EL23" s="64"/>
      <c r="EM23" s="64"/>
      <c r="EN23" s="64"/>
      <c r="EO23" s="64"/>
      <c r="EP23" s="64"/>
      <c r="EQ23" s="64"/>
      <c r="ER23" s="64"/>
      <c r="ES23" s="64"/>
      <c r="ET23" s="64"/>
      <c r="EU23" s="64"/>
      <c r="EV23" s="64"/>
      <c r="EW23" s="64"/>
      <c r="EX23" s="64"/>
      <c r="EY23" s="64"/>
      <c r="EZ23" s="64"/>
      <c r="FA23" s="64"/>
      <c r="FB23" s="64"/>
      <c r="FC23" s="64"/>
      <c r="FD23" s="64"/>
      <c r="FE23" s="64"/>
      <c r="FF23" s="64"/>
      <c r="FG23" s="64"/>
      <c r="FH23" s="64"/>
      <c r="FI23" s="64"/>
      <c r="FJ23" s="64"/>
      <c r="FK23" s="64"/>
      <c r="FL23" s="64"/>
      <c r="FM23" s="64"/>
      <c r="FN23" s="64"/>
      <c r="FO23" s="64"/>
      <c r="FP23" s="64"/>
      <c r="FQ23" s="64"/>
      <c r="FR23" s="64"/>
      <c r="FS23" s="64"/>
      <c r="FT23" s="64"/>
      <c r="FU23" s="64"/>
      <c r="FV23" s="64"/>
      <c r="FW23" s="64"/>
      <c r="FX23" s="64"/>
      <c r="FY23" s="64"/>
      <c r="FZ23" s="64"/>
      <c r="GA23" s="64"/>
      <c r="GB23" s="64"/>
      <c r="GC23" s="64"/>
      <c r="GD23" s="64"/>
      <c r="GE23" s="64"/>
      <c r="GF23" s="64"/>
      <c r="GG23" s="64"/>
      <c r="GH23" s="64"/>
      <c r="GI23" s="64"/>
      <c r="GJ23" s="64"/>
      <c r="GK23" s="64"/>
      <c r="GL23" s="64"/>
      <c r="GM23" s="64"/>
      <c r="GN23" s="64"/>
      <c r="GO23" s="64"/>
      <c r="GP23" s="64"/>
      <c r="GQ23" s="64"/>
      <c r="GR23" s="64"/>
      <c r="GS23" s="64"/>
      <c r="GT23" s="64"/>
      <c r="GU23" s="64"/>
      <c r="GV23" s="64"/>
      <c r="GW23" s="64"/>
      <c r="GX23" s="64"/>
      <c r="GY23" s="64"/>
      <c r="GZ23" s="64"/>
      <c r="HA23" s="64"/>
      <c r="HB23" s="64"/>
      <c r="HC23" s="64"/>
      <c r="HD23" s="64"/>
      <c r="HE23" s="64"/>
      <c r="HF23" s="64"/>
      <c r="HG23" s="64"/>
      <c r="HH23" s="64"/>
      <c r="HI23" s="64"/>
      <c r="HJ23" s="64"/>
      <c r="HK23" s="64"/>
      <c r="HL23" s="64"/>
      <c r="HM23" s="64"/>
      <c r="HN23" s="64"/>
      <c r="HO23" s="64"/>
      <c r="HP23" s="64"/>
      <c r="HQ23" s="64"/>
      <c r="HR23" s="64"/>
      <c r="HS23" s="64"/>
      <c r="HT23" s="64"/>
      <c r="HU23" s="64"/>
      <c r="HV23" s="64"/>
      <c r="HW23" s="64"/>
      <c r="HX23" s="64"/>
      <c r="HY23" s="64"/>
      <c r="HZ23" s="64"/>
      <c r="IA23" s="64"/>
      <c r="IB23" s="64"/>
      <c r="IC23" s="64"/>
      <c r="ID23" s="64"/>
      <c r="IE23" s="64"/>
      <c r="IF23" s="64"/>
      <c r="IG23" s="64"/>
      <c r="IH23" s="64"/>
      <c r="II23" s="64"/>
      <c r="IJ23" s="64"/>
      <c r="IK23" s="64"/>
      <c r="IL23" s="64"/>
      <c r="IM23" s="64"/>
      <c r="IN23" s="64"/>
      <c r="IO23" s="64"/>
      <c r="IP23" s="64"/>
      <c r="IQ23" s="64"/>
      <c r="IR23" s="64"/>
      <c r="IS23" s="64"/>
      <c r="IT23" s="64"/>
      <c r="IU23" s="64"/>
      <c r="IV23" s="64"/>
      <c r="IW23" s="64"/>
    </row>
    <row r="24" spans="1:257" s="63" customFormat="1" ht="19.5" customHeight="1" x14ac:dyDescent="0.2">
      <c r="A24" s="233" t="s">
        <v>67</v>
      </c>
      <c r="B24" s="233"/>
      <c r="C24" s="233"/>
      <c r="D24" s="233"/>
      <c r="E24" s="233"/>
      <c r="F24" s="233"/>
      <c r="G24" s="233"/>
      <c r="H24" s="233"/>
      <c r="I24" s="88">
        <v>12</v>
      </c>
      <c r="J24" s="66">
        <v>12</v>
      </c>
    </row>
    <row r="25" spans="1:257" s="63" customFormat="1" ht="5.25" customHeight="1" x14ac:dyDescent="0.2">
      <c r="A25" s="234"/>
      <c r="B25" s="235"/>
      <c r="C25" s="235"/>
      <c r="D25" s="235"/>
      <c r="E25" s="235"/>
      <c r="F25" s="235"/>
      <c r="G25" s="235"/>
      <c r="H25" s="235"/>
      <c r="I25" s="235"/>
      <c r="J25" s="236"/>
      <c r="K25" s="64"/>
      <c r="L25" s="64"/>
      <c r="M25" s="64"/>
      <c r="N25" s="64"/>
      <c r="O25" s="64"/>
      <c r="P25" s="64"/>
      <c r="Q25" s="64"/>
      <c r="R25" s="64"/>
      <c r="S25" s="64"/>
      <c r="T25" s="64"/>
      <c r="U25" s="64"/>
      <c r="V25" s="64"/>
      <c r="W25" s="64"/>
      <c r="X25" s="64"/>
      <c r="Y25" s="64"/>
      <c r="Z25" s="64"/>
      <c r="AA25" s="64"/>
      <c r="AB25" s="64"/>
      <c r="AC25" s="64"/>
      <c r="AD25" s="64"/>
      <c r="AE25" s="64"/>
      <c r="AF25" s="64"/>
      <c r="AG25" s="64"/>
      <c r="AH25" s="64"/>
      <c r="AI25" s="64"/>
      <c r="AJ25" s="64"/>
      <c r="AK25" s="64"/>
      <c r="AL25" s="64"/>
      <c r="AM25" s="64"/>
      <c r="AN25" s="64"/>
      <c r="AO25" s="64"/>
      <c r="AP25" s="64"/>
      <c r="AQ25" s="64"/>
      <c r="AR25" s="64"/>
      <c r="AS25" s="64"/>
      <c r="AT25" s="64"/>
      <c r="AU25" s="64"/>
      <c r="AV25" s="64"/>
      <c r="AW25" s="64"/>
      <c r="AX25" s="64"/>
      <c r="AY25" s="64"/>
      <c r="AZ25" s="64"/>
      <c r="BA25" s="64"/>
      <c r="BB25" s="64"/>
      <c r="BC25" s="64"/>
      <c r="BD25" s="64"/>
      <c r="BE25" s="64"/>
      <c r="BF25" s="64"/>
      <c r="BG25" s="64"/>
      <c r="BH25" s="64"/>
      <c r="BI25" s="64"/>
      <c r="BJ25" s="64"/>
      <c r="BK25" s="64"/>
      <c r="BL25" s="64"/>
      <c r="BM25" s="64"/>
      <c r="BN25" s="64"/>
      <c r="BO25" s="64"/>
      <c r="BP25" s="64"/>
      <c r="BQ25" s="64"/>
      <c r="BR25" s="64"/>
      <c r="BS25" s="64"/>
      <c r="BT25" s="64"/>
      <c r="BU25" s="64"/>
      <c r="BV25" s="64"/>
      <c r="BW25" s="64"/>
      <c r="BX25" s="64"/>
      <c r="BY25" s="64"/>
      <c r="BZ25" s="64"/>
      <c r="CA25" s="64"/>
      <c r="CB25" s="64"/>
      <c r="CC25" s="64"/>
      <c r="CD25" s="64"/>
      <c r="CE25" s="64"/>
      <c r="CF25" s="64"/>
      <c r="CG25" s="64"/>
      <c r="CH25" s="64"/>
      <c r="CI25" s="64"/>
      <c r="CJ25" s="64"/>
      <c r="CK25" s="64"/>
      <c r="CL25" s="64"/>
      <c r="CM25" s="64"/>
      <c r="CN25" s="64"/>
      <c r="CO25" s="64"/>
      <c r="CP25" s="64"/>
      <c r="CQ25" s="64"/>
      <c r="CR25" s="64"/>
      <c r="CS25" s="64"/>
      <c r="CT25" s="64"/>
      <c r="CU25" s="64"/>
      <c r="CV25" s="64"/>
      <c r="CW25" s="64"/>
      <c r="CX25" s="64"/>
      <c r="CY25" s="64"/>
      <c r="CZ25" s="64"/>
      <c r="DA25" s="64"/>
      <c r="DB25" s="64"/>
      <c r="DC25" s="64"/>
      <c r="DD25" s="64"/>
      <c r="DE25" s="64"/>
      <c r="DF25" s="64"/>
      <c r="DG25" s="64"/>
      <c r="DH25" s="64"/>
      <c r="DI25" s="64"/>
      <c r="DJ25" s="64"/>
      <c r="DK25" s="64"/>
      <c r="DL25" s="64"/>
      <c r="DM25" s="64"/>
      <c r="DN25" s="64"/>
      <c r="DO25" s="64"/>
      <c r="DP25" s="64"/>
      <c r="DQ25" s="64"/>
      <c r="DR25" s="64"/>
      <c r="DS25" s="64"/>
      <c r="DT25" s="64"/>
      <c r="DU25" s="64"/>
      <c r="DV25" s="64"/>
      <c r="DW25" s="64"/>
      <c r="DX25" s="64"/>
      <c r="DY25" s="64"/>
      <c r="DZ25" s="64"/>
      <c r="EA25" s="64"/>
      <c r="EB25" s="64"/>
      <c r="EC25" s="64"/>
      <c r="ED25" s="64"/>
      <c r="EE25" s="64"/>
      <c r="EF25" s="64"/>
      <c r="EG25" s="64"/>
      <c r="EH25" s="64"/>
      <c r="EI25" s="64"/>
      <c r="EJ25" s="64"/>
      <c r="EK25" s="64"/>
      <c r="EL25" s="64"/>
      <c r="EM25" s="64"/>
      <c r="EN25" s="64"/>
      <c r="EO25" s="64"/>
      <c r="EP25" s="64"/>
      <c r="EQ25" s="64"/>
      <c r="ER25" s="64"/>
      <c r="ES25" s="64"/>
      <c r="ET25" s="64"/>
      <c r="EU25" s="64"/>
      <c r="EV25" s="64"/>
      <c r="EW25" s="64"/>
      <c r="EX25" s="64"/>
      <c r="EY25" s="64"/>
      <c r="EZ25" s="64"/>
      <c r="FA25" s="64"/>
      <c r="FB25" s="64"/>
      <c r="FC25" s="64"/>
      <c r="FD25" s="64"/>
      <c r="FE25" s="64"/>
      <c r="FF25" s="64"/>
      <c r="FG25" s="64"/>
      <c r="FH25" s="64"/>
      <c r="FI25" s="64"/>
      <c r="FJ25" s="64"/>
      <c r="FK25" s="64"/>
      <c r="FL25" s="64"/>
      <c r="FM25" s="64"/>
      <c r="FN25" s="64"/>
      <c r="FO25" s="64"/>
      <c r="FP25" s="64"/>
      <c r="FQ25" s="64"/>
      <c r="FR25" s="64"/>
      <c r="FS25" s="64"/>
      <c r="FT25" s="64"/>
      <c r="FU25" s="64"/>
      <c r="FV25" s="64"/>
      <c r="FW25" s="64"/>
      <c r="FX25" s="64"/>
      <c r="FY25" s="64"/>
      <c r="FZ25" s="64"/>
      <c r="GA25" s="64"/>
      <c r="GB25" s="64"/>
      <c r="GC25" s="64"/>
      <c r="GD25" s="64"/>
      <c r="GE25" s="64"/>
      <c r="GF25" s="64"/>
      <c r="GG25" s="64"/>
      <c r="GH25" s="64"/>
      <c r="GI25" s="64"/>
      <c r="GJ25" s="64"/>
      <c r="GK25" s="64"/>
      <c r="GL25" s="64"/>
      <c r="GM25" s="64"/>
      <c r="GN25" s="64"/>
      <c r="GO25" s="64"/>
      <c r="GP25" s="64"/>
      <c r="GQ25" s="64"/>
      <c r="GR25" s="64"/>
      <c r="GS25" s="64"/>
      <c r="GT25" s="64"/>
      <c r="GU25" s="64"/>
      <c r="GV25" s="64"/>
      <c r="GW25" s="64"/>
      <c r="GX25" s="64"/>
      <c r="GY25" s="64"/>
      <c r="GZ25" s="64"/>
      <c r="HA25" s="64"/>
      <c r="HB25" s="64"/>
      <c r="HC25" s="64"/>
      <c r="HD25" s="64"/>
      <c r="HE25" s="64"/>
      <c r="HF25" s="64"/>
      <c r="HG25" s="64"/>
      <c r="HH25" s="64"/>
      <c r="HI25" s="64"/>
      <c r="HJ25" s="64"/>
      <c r="HK25" s="64"/>
      <c r="HL25" s="64"/>
      <c r="HM25" s="64"/>
      <c r="HN25" s="64"/>
      <c r="HO25" s="64"/>
      <c r="HP25" s="64"/>
      <c r="HQ25" s="64"/>
      <c r="HR25" s="64"/>
      <c r="HS25" s="64"/>
      <c r="HT25" s="64"/>
      <c r="HU25" s="64"/>
      <c r="HV25" s="64"/>
      <c r="HW25" s="64"/>
      <c r="HX25" s="64"/>
      <c r="HY25" s="64"/>
      <c r="HZ25" s="64"/>
      <c r="IA25" s="64"/>
      <c r="IB25" s="64"/>
      <c r="IC25" s="64"/>
      <c r="ID25" s="64"/>
      <c r="IE25" s="64"/>
      <c r="IF25" s="64"/>
      <c r="IG25" s="64"/>
      <c r="IH25" s="64"/>
      <c r="II25" s="64"/>
      <c r="IJ25" s="64"/>
      <c r="IK25" s="64"/>
      <c r="IL25" s="64"/>
      <c r="IM25" s="64"/>
      <c r="IN25" s="64"/>
      <c r="IO25" s="64"/>
      <c r="IP25" s="64"/>
      <c r="IQ25" s="64"/>
      <c r="IR25" s="64"/>
      <c r="IS25" s="64"/>
      <c r="IT25" s="64"/>
      <c r="IU25" s="64"/>
      <c r="IV25" s="64"/>
      <c r="IW25" s="64"/>
    </row>
    <row r="26" spans="1:257" s="63" customFormat="1" ht="15" customHeight="1" x14ac:dyDescent="0.2">
      <c r="A26" s="237" t="s">
        <v>99</v>
      </c>
      <c r="B26" s="237"/>
      <c r="C26" s="237"/>
      <c r="D26" s="237"/>
      <c r="E26" s="237"/>
      <c r="F26" s="237"/>
      <c r="G26" s="237"/>
      <c r="H26" s="237"/>
      <c r="I26" s="91">
        <f ca="1">I21*I24</f>
        <v>3517522.2167121959</v>
      </c>
      <c r="J26" s="89" t="e">
        <f>J24*J21</f>
        <v>#REF!</v>
      </c>
      <c r="K26" s="149"/>
    </row>
    <row r="27" spans="1:257" s="63" customFormat="1" ht="15" customHeight="1" x14ac:dyDescent="0.2">
      <c r="A27" s="234" t="s">
        <v>436</v>
      </c>
      <c r="B27" s="235"/>
      <c r="C27" s="235"/>
      <c r="D27" s="235"/>
      <c r="E27" s="235"/>
      <c r="F27" s="235"/>
      <c r="G27" s="235"/>
      <c r="H27" s="235"/>
      <c r="I27" s="235"/>
      <c r="J27" s="236"/>
    </row>
  </sheetData>
  <mergeCells count="17">
    <mergeCell ref="A23:J23"/>
    <mergeCell ref="A24:H24"/>
    <mergeCell ref="A25:J25"/>
    <mergeCell ref="A26:H26"/>
    <mergeCell ref="A27:J27"/>
    <mergeCell ref="A22:I22"/>
    <mergeCell ref="A2:J2"/>
    <mergeCell ref="A3:I3"/>
    <mergeCell ref="A5:A6"/>
    <mergeCell ref="B5:B6"/>
    <mergeCell ref="A12:D12"/>
    <mergeCell ref="A13:J13"/>
    <mergeCell ref="A14:H14"/>
    <mergeCell ref="A16:A17"/>
    <mergeCell ref="B16:B17"/>
    <mergeCell ref="A20:D20"/>
    <mergeCell ref="A21:H21"/>
  </mergeCells>
  <printOptions horizontalCentered="1" verticalCentered="1"/>
  <pageMargins left="0.51181102362204722" right="0.51181102362204722" top="0.78740157480314965" bottom="0.78740157480314965" header="0.31496062992125984" footer="0.31496062992125984"/>
  <pageSetup paperSize="9" scale="55" orientation="portrait" horizontalDpi="360" verticalDpi="36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sheetPr>
  <dimension ref="A1:J12"/>
  <sheetViews>
    <sheetView topLeftCell="A7" zoomScaleNormal="100" zoomScaleSheetLayoutView="140" workbookViewId="0">
      <selection activeCell="H9" sqref="H9"/>
    </sheetView>
  </sheetViews>
  <sheetFormatPr defaultRowHeight="12.75" x14ac:dyDescent="0.2"/>
  <cols>
    <col min="1" max="1" width="4.7109375" style="122" bestFit="1" customWidth="1"/>
    <col min="2" max="2" width="34.28515625" style="122" customWidth="1"/>
    <col min="3" max="3" width="7.5703125" style="122" bestFit="1" customWidth="1"/>
    <col min="4" max="4" width="10.42578125" style="122" bestFit="1" customWidth="1"/>
    <col min="5" max="5" width="6.7109375" style="122" hidden="1" customWidth="1"/>
    <col min="6" max="7" width="7" style="122" hidden="1" customWidth="1"/>
    <col min="8" max="8" width="7.85546875" style="122" bestFit="1" customWidth="1"/>
    <col min="9" max="9" width="8.7109375" style="122" customWidth="1"/>
    <col min="10" max="10" width="26.5703125" style="122" customWidth="1"/>
    <col min="11" max="256" width="9.140625" style="122"/>
    <col min="257" max="257" width="4.7109375" style="122" bestFit="1" customWidth="1"/>
    <col min="258" max="258" width="34.28515625" style="122" customWidth="1"/>
    <col min="259" max="259" width="7.5703125" style="122" bestFit="1" customWidth="1"/>
    <col min="260" max="260" width="10.42578125" style="122" bestFit="1" customWidth="1"/>
    <col min="261" max="263" width="0" style="122" hidden="1" customWidth="1"/>
    <col min="264" max="264" width="7.85546875" style="122" bestFit="1" customWidth="1"/>
    <col min="265" max="265" width="8.7109375" style="122" customWidth="1"/>
    <col min="266" max="266" width="11.28515625" style="122" customWidth="1"/>
    <col min="267" max="512" width="9.140625" style="122"/>
    <col min="513" max="513" width="4.7109375" style="122" bestFit="1" customWidth="1"/>
    <col min="514" max="514" width="34.28515625" style="122" customWidth="1"/>
    <col min="515" max="515" width="7.5703125" style="122" bestFit="1" customWidth="1"/>
    <col min="516" max="516" width="10.42578125" style="122" bestFit="1" customWidth="1"/>
    <col min="517" max="519" width="0" style="122" hidden="1" customWidth="1"/>
    <col min="520" max="520" width="7.85546875" style="122" bestFit="1" customWidth="1"/>
    <col min="521" max="521" width="8.7109375" style="122" customWidth="1"/>
    <col min="522" max="522" width="11.28515625" style="122" customWidth="1"/>
    <col min="523" max="768" width="9.140625" style="122"/>
    <col min="769" max="769" width="4.7109375" style="122" bestFit="1" customWidth="1"/>
    <col min="770" max="770" width="34.28515625" style="122" customWidth="1"/>
    <col min="771" max="771" width="7.5703125" style="122" bestFit="1" customWidth="1"/>
    <col min="772" max="772" width="10.42578125" style="122" bestFit="1" customWidth="1"/>
    <col min="773" max="775" width="0" style="122" hidden="1" customWidth="1"/>
    <col min="776" max="776" width="7.85546875" style="122" bestFit="1" customWidth="1"/>
    <col min="777" max="777" width="8.7109375" style="122" customWidth="1"/>
    <col min="778" max="778" width="11.28515625" style="122" customWidth="1"/>
    <col min="779" max="1024" width="9.140625" style="122"/>
    <col min="1025" max="1025" width="4.7109375" style="122" bestFit="1" customWidth="1"/>
    <col min="1026" max="1026" width="34.28515625" style="122" customWidth="1"/>
    <col min="1027" max="1027" width="7.5703125" style="122" bestFit="1" customWidth="1"/>
    <col min="1028" max="1028" width="10.42578125" style="122" bestFit="1" customWidth="1"/>
    <col min="1029" max="1031" width="0" style="122" hidden="1" customWidth="1"/>
    <col min="1032" max="1032" width="7.85546875" style="122" bestFit="1" customWidth="1"/>
    <col min="1033" max="1033" width="8.7109375" style="122" customWidth="1"/>
    <col min="1034" max="1034" width="11.28515625" style="122" customWidth="1"/>
    <col min="1035" max="1280" width="9.140625" style="122"/>
    <col min="1281" max="1281" width="4.7109375" style="122" bestFit="1" customWidth="1"/>
    <col min="1282" max="1282" width="34.28515625" style="122" customWidth="1"/>
    <col min="1283" max="1283" width="7.5703125" style="122" bestFit="1" customWidth="1"/>
    <col min="1284" max="1284" width="10.42578125" style="122" bestFit="1" customWidth="1"/>
    <col min="1285" max="1287" width="0" style="122" hidden="1" customWidth="1"/>
    <col min="1288" max="1288" width="7.85546875" style="122" bestFit="1" customWidth="1"/>
    <col min="1289" max="1289" width="8.7109375" style="122" customWidth="1"/>
    <col min="1290" max="1290" width="11.28515625" style="122" customWidth="1"/>
    <col min="1291" max="1536" width="9.140625" style="122"/>
    <col min="1537" max="1537" width="4.7109375" style="122" bestFit="1" customWidth="1"/>
    <col min="1538" max="1538" width="34.28515625" style="122" customWidth="1"/>
    <col min="1539" max="1539" width="7.5703125" style="122" bestFit="1" customWidth="1"/>
    <col min="1540" max="1540" width="10.42578125" style="122" bestFit="1" customWidth="1"/>
    <col min="1541" max="1543" width="0" style="122" hidden="1" customWidth="1"/>
    <col min="1544" max="1544" width="7.85546875" style="122" bestFit="1" customWidth="1"/>
    <col min="1545" max="1545" width="8.7109375" style="122" customWidth="1"/>
    <col min="1546" max="1546" width="11.28515625" style="122" customWidth="1"/>
    <col min="1547" max="1792" width="9.140625" style="122"/>
    <col min="1793" max="1793" width="4.7109375" style="122" bestFit="1" customWidth="1"/>
    <col min="1794" max="1794" width="34.28515625" style="122" customWidth="1"/>
    <col min="1795" max="1795" width="7.5703125" style="122" bestFit="1" customWidth="1"/>
    <col min="1796" max="1796" width="10.42578125" style="122" bestFit="1" customWidth="1"/>
    <col min="1797" max="1799" width="0" style="122" hidden="1" customWidth="1"/>
    <col min="1800" max="1800" width="7.85546875" style="122" bestFit="1" customWidth="1"/>
    <col min="1801" max="1801" width="8.7109375" style="122" customWidth="1"/>
    <col min="1802" max="1802" width="11.28515625" style="122" customWidth="1"/>
    <col min="1803" max="2048" width="9.140625" style="122"/>
    <col min="2049" max="2049" width="4.7109375" style="122" bestFit="1" customWidth="1"/>
    <col min="2050" max="2050" width="34.28515625" style="122" customWidth="1"/>
    <col min="2051" max="2051" width="7.5703125" style="122" bestFit="1" customWidth="1"/>
    <col min="2052" max="2052" width="10.42578125" style="122" bestFit="1" customWidth="1"/>
    <col min="2053" max="2055" width="0" style="122" hidden="1" customWidth="1"/>
    <col min="2056" max="2056" width="7.85546875" style="122" bestFit="1" customWidth="1"/>
    <col min="2057" max="2057" width="8.7109375" style="122" customWidth="1"/>
    <col min="2058" max="2058" width="11.28515625" style="122" customWidth="1"/>
    <col min="2059" max="2304" width="9.140625" style="122"/>
    <col min="2305" max="2305" width="4.7109375" style="122" bestFit="1" customWidth="1"/>
    <col min="2306" max="2306" width="34.28515625" style="122" customWidth="1"/>
    <col min="2307" max="2307" width="7.5703125" style="122" bestFit="1" customWidth="1"/>
    <col min="2308" max="2308" width="10.42578125" style="122" bestFit="1" customWidth="1"/>
    <col min="2309" max="2311" width="0" style="122" hidden="1" customWidth="1"/>
    <col min="2312" max="2312" width="7.85546875" style="122" bestFit="1" customWidth="1"/>
    <col min="2313" max="2313" width="8.7109375" style="122" customWidth="1"/>
    <col min="2314" max="2314" width="11.28515625" style="122" customWidth="1"/>
    <col min="2315" max="2560" width="9.140625" style="122"/>
    <col min="2561" max="2561" width="4.7109375" style="122" bestFit="1" customWidth="1"/>
    <col min="2562" max="2562" width="34.28515625" style="122" customWidth="1"/>
    <col min="2563" max="2563" width="7.5703125" style="122" bestFit="1" customWidth="1"/>
    <col min="2564" max="2564" width="10.42578125" style="122" bestFit="1" customWidth="1"/>
    <col min="2565" max="2567" width="0" style="122" hidden="1" customWidth="1"/>
    <col min="2568" max="2568" width="7.85546875" style="122" bestFit="1" customWidth="1"/>
    <col min="2569" max="2569" width="8.7109375" style="122" customWidth="1"/>
    <col min="2570" max="2570" width="11.28515625" style="122" customWidth="1"/>
    <col min="2571" max="2816" width="9.140625" style="122"/>
    <col min="2817" max="2817" width="4.7109375" style="122" bestFit="1" customWidth="1"/>
    <col min="2818" max="2818" width="34.28515625" style="122" customWidth="1"/>
    <col min="2819" max="2819" width="7.5703125" style="122" bestFit="1" customWidth="1"/>
    <col min="2820" max="2820" width="10.42578125" style="122" bestFit="1" customWidth="1"/>
    <col min="2821" max="2823" width="0" style="122" hidden="1" customWidth="1"/>
    <col min="2824" max="2824" width="7.85546875" style="122" bestFit="1" customWidth="1"/>
    <col min="2825" max="2825" width="8.7109375" style="122" customWidth="1"/>
    <col min="2826" max="2826" width="11.28515625" style="122" customWidth="1"/>
    <col min="2827" max="3072" width="9.140625" style="122"/>
    <col min="3073" max="3073" width="4.7109375" style="122" bestFit="1" customWidth="1"/>
    <col min="3074" max="3074" width="34.28515625" style="122" customWidth="1"/>
    <col min="3075" max="3075" width="7.5703125" style="122" bestFit="1" customWidth="1"/>
    <col min="3076" max="3076" width="10.42578125" style="122" bestFit="1" customWidth="1"/>
    <col min="3077" max="3079" width="0" style="122" hidden="1" customWidth="1"/>
    <col min="3080" max="3080" width="7.85546875" style="122" bestFit="1" customWidth="1"/>
    <col min="3081" max="3081" width="8.7109375" style="122" customWidth="1"/>
    <col min="3082" max="3082" width="11.28515625" style="122" customWidth="1"/>
    <col min="3083" max="3328" width="9.140625" style="122"/>
    <col min="3329" max="3329" width="4.7109375" style="122" bestFit="1" customWidth="1"/>
    <col min="3330" max="3330" width="34.28515625" style="122" customWidth="1"/>
    <col min="3331" max="3331" width="7.5703125" style="122" bestFit="1" customWidth="1"/>
    <col min="3332" max="3332" width="10.42578125" style="122" bestFit="1" customWidth="1"/>
    <col min="3333" max="3335" width="0" style="122" hidden="1" customWidth="1"/>
    <col min="3336" max="3336" width="7.85546875" style="122" bestFit="1" customWidth="1"/>
    <col min="3337" max="3337" width="8.7109375" style="122" customWidth="1"/>
    <col min="3338" max="3338" width="11.28515625" style="122" customWidth="1"/>
    <col min="3339" max="3584" width="9.140625" style="122"/>
    <col min="3585" max="3585" width="4.7109375" style="122" bestFit="1" customWidth="1"/>
    <col min="3586" max="3586" width="34.28515625" style="122" customWidth="1"/>
    <col min="3587" max="3587" width="7.5703125" style="122" bestFit="1" customWidth="1"/>
    <col min="3588" max="3588" width="10.42578125" style="122" bestFit="1" customWidth="1"/>
    <col min="3589" max="3591" width="0" style="122" hidden="1" customWidth="1"/>
    <col min="3592" max="3592" width="7.85546875" style="122" bestFit="1" customWidth="1"/>
    <col min="3593" max="3593" width="8.7109375" style="122" customWidth="1"/>
    <col min="3594" max="3594" width="11.28515625" style="122" customWidth="1"/>
    <col min="3595" max="3840" width="9.140625" style="122"/>
    <col min="3841" max="3841" width="4.7109375" style="122" bestFit="1" customWidth="1"/>
    <col min="3842" max="3842" width="34.28515625" style="122" customWidth="1"/>
    <col min="3843" max="3843" width="7.5703125" style="122" bestFit="1" customWidth="1"/>
    <col min="3844" max="3844" width="10.42578125" style="122" bestFit="1" customWidth="1"/>
    <col min="3845" max="3847" width="0" style="122" hidden="1" customWidth="1"/>
    <col min="3848" max="3848" width="7.85546875" style="122" bestFit="1" customWidth="1"/>
    <col min="3849" max="3849" width="8.7109375" style="122" customWidth="1"/>
    <col min="3850" max="3850" width="11.28515625" style="122" customWidth="1"/>
    <col min="3851" max="4096" width="9.140625" style="122"/>
    <col min="4097" max="4097" width="4.7109375" style="122" bestFit="1" customWidth="1"/>
    <col min="4098" max="4098" width="34.28515625" style="122" customWidth="1"/>
    <col min="4099" max="4099" width="7.5703125" style="122" bestFit="1" customWidth="1"/>
    <col min="4100" max="4100" width="10.42578125" style="122" bestFit="1" customWidth="1"/>
    <col min="4101" max="4103" width="0" style="122" hidden="1" customWidth="1"/>
    <col min="4104" max="4104" width="7.85546875" style="122" bestFit="1" customWidth="1"/>
    <col min="4105" max="4105" width="8.7109375" style="122" customWidth="1"/>
    <col min="4106" max="4106" width="11.28515625" style="122" customWidth="1"/>
    <col min="4107" max="4352" width="9.140625" style="122"/>
    <col min="4353" max="4353" width="4.7109375" style="122" bestFit="1" customWidth="1"/>
    <col min="4354" max="4354" width="34.28515625" style="122" customWidth="1"/>
    <col min="4355" max="4355" width="7.5703125" style="122" bestFit="1" customWidth="1"/>
    <col min="4356" max="4356" width="10.42578125" style="122" bestFit="1" customWidth="1"/>
    <col min="4357" max="4359" width="0" style="122" hidden="1" customWidth="1"/>
    <col min="4360" max="4360" width="7.85546875" style="122" bestFit="1" customWidth="1"/>
    <col min="4361" max="4361" width="8.7109375" style="122" customWidth="1"/>
    <col min="4362" max="4362" width="11.28515625" style="122" customWidth="1"/>
    <col min="4363" max="4608" width="9.140625" style="122"/>
    <col min="4609" max="4609" width="4.7109375" style="122" bestFit="1" customWidth="1"/>
    <col min="4610" max="4610" width="34.28515625" style="122" customWidth="1"/>
    <col min="4611" max="4611" width="7.5703125" style="122" bestFit="1" customWidth="1"/>
    <col min="4612" max="4612" width="10.42578125" style="122" bestFit="1" customWidth="1"/>
    <col min="4613" max="4615" width="0" style="122" hidden="1" customWidth="1"/>
    <col min="4616" max="4616" width="7.85546875" style="122" bestFit="1" customWidth="1"/>
    <col min="4617" max="4617" width="8.7109375" style="122" customWidth="1"/>
    <col min="4618" max="4618" width="11.28515625" style="122" customWidth="1"/>
    <col min="4619" max="4864" width="9.140625" style="122"/>
    <col min="4865" max="4865" width="4.7109375" style="122" bestFit="1" customWidth="1"/>
    <col min="4866" max="4866" width="34.28515625" style="122" customWidth="1"/>
    <col min="4867" max="4867" width="7.5703125" style="122" bestFit="1" customWidth="1"/>
    <col min="4868" max="4868" width="10.42578125" style="122" bestFit="1" customWidth="1"/>
    <col min="4869" max="4871" width="0" style="122" hidden="1" customWidth="1"/>
    <col min="4872" max="4872" width="7.85546875" style="122" bestFit="1" customWidth="1"/>
    <col min="4873" max="4873" width="8.7109375" style="122" customWidth="1"/>
    <col min="4874" max="4874" width="11.28515625" style="122" customWidth="1"/>
    <col min="4875" max="5120" width="9.140625" style="122"/>
    <col min="5121" max="5121" width="4.7109375" style="122" bestFit="1" customWidth="1"/>
    <col min="5122" max="5122" width="34.28515625" style="122" customWidth="1"/>
    <col min="5123" max="5123" width="7.5703125" style="122" bestFit="1" customWidth="1"/>
    <col min="5124" max="5124" width="10.42578125" style="122" bestFit="1" customWidth="1"/>
    <col min="5125" max="5127" width="0" style="122" hidden="1" customWidth="1"/>
    <col min="5128" max="5128" width="7.85546875" style="122" bestFit="1" customWidth="1"/>
    <col min="5129" max="5129" width="8.7109375" style="122" customWidth="1"/>
    <col min="5130" max="5130" width="11.28515625" style="122" customWidth="1"/>
    <col min="5131" max="5376" width="9.140625" style="122"/>
    <col min="5377" max="5377" width="4.7109375" style="122" bestFit="1" customWidth="1"/>
    <col min="5378" max="5378" width="34.28515625" style="122" customWidth="1"/>
    <col min="5379" max="5379" width="7.5703125" style="122" bestFit="1" customWidth="1"/>
    <col min="5380" max="5380" width="10.42578125" style="122" bestFit="1" customWidth="1"/>
    <col min="5381" max="5383" width="0" style="122" hidden="1" customWidth="1"/>
    <col min="5384" max="5384" width="7.85546875" style="122" bestFit="1" customWidth="1"/>
    <col min="5385" max="5385" width="8.7109375" style="122" customWidth="1"/>
    <col min="5386" max="5386" width="11.28515625" style="122" customWidth="1"/>
    <col min="5387" max="5632" width="9.140625" style="122"/>
    <col min="5633" max="5633" width="4.7109375" style="122" bestFit="1" customWidth="1"/>
    <col min="5634" max="5634" width="34.28515625" style="122" customWidth="1"/>
    <col min="5635" max="5635" width="7.5703125" style="122" bestFit="1" customWidth="1"/>
    <col min="5636" max="5636" width="10.42578125" style="122" bestFit="1" customWidth="1"/>
    <col min="5637" max="5639" width="0" style="122" hidden="1" customWidth="1"/>
    <col min="5640" max="5640" width="7.85546875" style="122" bestFit="1" customWidth="1"/>
    <col min="5641" max="5641" width="8.7109375" style="122" customWidth="1"/>
    <col min="5642" max="5642" width="11.28515625" style="122" customWidth="1"/>
    <col min="5643" max="5888" width="9.140625" style="122"/>
    <col min="5889" max="5889" width="4.7109375" style="122" bestFit="1" customWidth="1"/>
    <col min="5890" max="5890" width="34.28515625" style="122" customWidth="1"/>
    <col min="5891" max="5891" width="7.5703125" style="122" bestFit="1" customWidth="1"/>
    <col min="5892" max="5892" width="10.42578125" style="122" bestFit="1" customWidth="1"/>
    <col min="5893" max="5895" width="0" style="122" hidden="1" customWidth="1"/>
    <col min="5896" max="5896" width="7.85546875" style="122" bestFit="1" customWidth="1"/>
    <col min="5897" max="5897" width="8.7109375" style="122" customWidth="1"/>
    <col min="5898" max="5898" width="11.28515625" style="122" customWidth="1"/>
    <col min="5899" max="6144" width="9.140625" style="122"/>
    <col min="6145" max="6145" width="4.7109375" style="122" bestFit="1" customWidth="1"/>
    <col min="6146" max="6146" width="34.28515625" style="122" customWidth="1"/>
    <col min="6147" max="6147" width="7.5703125" style="122" bestFit="1" customWidth="1"/>
    <col min="6148" max="6148" width="10.42578125" style="122" bestFit="1" customWidth="1"/>
    <col min="6149" max="6151" width="0" style="122" hidden="1" customWidth="1"/>
    <col min="6152" max="6152" width="7.85546875" style="122" bestFit="1" customWidth="1"/>
    <col min="6153" max="6153" width="8.7109375" style="122" customWidth="1"/>
    <col min="6154" max="6154" width="11.28515625" style="122" customWidth="1"/>
    <col min="6155" max="6400" width="9.140625" style="122"/>
    <col min="6401" max="6401" width="4.7109375" style="122" bestFit="1" customWidth="1"/>
    <col min="6402" max="6402" width="34.28515625" style="122" customWidth="1"/>
    <col min="6403" max="6403" width="7.5703125" style="122" bestFit="1" customWidth="1"/>
    <col min="6404" max="6404" width="10.42578125" style="122" bestFit="1" customWidth="1"/>
    <col min="6405" max="6407" width="0" style="122" hidden="1" customWidth="1"/>
    <col min="6408" max="6408" width="7.85546875" style="122" bestFit="1" customWidth="1"/>
    <col min="6409" max="6409" width="8.7109375" style="122" customWidth="1"/>
    <col min="6410" max="6410" width="11.28515625" style="122" customWidth="1"/>
    <col min="6411" max="6656" width="9.140625" style="122"/>
    <col min="6657" max="6657" width="4.7109375" style="122" bestFit="1" customWidth="1"/>
    <col min="6658" max="6658" width="34.28515625" style="122" customWidth="1"/>
    <col min="6659" max="6659" width="7.5703125" style="122" bestFit="1" customWidth="1"/>
    <col min="6660" max="6660" width="10.42578125" style="122" bestFit="1" customWidth="1"/>
    <col min="6661" max="6663" width="0" style="122" hidden="1" customWidth="1"/>
    <col min="6664" max="6664" width="7.85546875" style="122" bestFit="1" customWidth="1"/>
    <col min="6665" max="6665" width="8.7109375" style="122" customWidth="1"/>
    <col min="6666" max="6666" width="11.28515625" style="122" customWidth="1"/>
    <col min="6667" max="6912" width="9.140625" style="122"/>
    <col min="6913" max="6913" width="4.7109375" style="122" bestFit="1" customWidth="1"/>
    <col min="6914" max="6914" width="34.28515625" style="122" customWidth="1"/>
    <col min="6915" max="6915" width="7.5703125" style="122" bestFit="1" customWidth="1"/>
    <col min="6916" max="6916" width="10.42578125" style="122" bestFit="1" customWidth="1"/>
    <col min="6917" max="6919" width="0" style="122" hidden="1" customWidth="1"/>
    <col min="6920" max="6920" width="7.85546875" style="122" bestFit="1" customWidth="1"/>
    <col min="6921" max="6921" width="8.7109375" style="122" customWidth="1"/>
    <col min="6922" max="6922" width="11.28515625" style="122" customWidth="1"/>
    <col min="6923" max="7168" width="9.140625" style="122"/>
    <col min="7169" max="7169" width="4.7109375" style="122" bestFit="1" customWidth="1"/>
    <col min="7170" max="7170" width="34.28515625" style="122" customWidth="1"/>
    <col min="7171" max="7171" width="7.5703125" style="122" bestFit="1" customWidth="1"/>
    <col min="7172" max="7172" width="10.42578125" style="122" bestFit="1" customWidth="1"/>
    <col min="7173" max="7175" width="0" style="122" hidden="1" customWidth="1"/>
    <col min="7176" max="7176" width="7.85546875" style="122" bestFit="1" customWidth="1"/>
    <col min="7177" max="7177" width="8.7109375" style="122" customWidth="1"/>
    <col min="7178" max="7178" width="11.28515625" style="122" customWidth="1"/>
    <col min="7179" max="7424" width="9.140625" style="122"/>
    <col min="7425" max="7425" width="4.7109375" style="122" bestFit="1" customWidth="1"/>
    <col min="7426" max="7426" width="34.28515625" style="122" customWidth="1"/>
    <col min="7427" max="7427" width="7.5703125" style="122" bestFit="1" customWidth="1"/>
    <col min="7428" max="7428" width="10.42578125" style="122" bestFit="1" customWidth="1"/>
    <col min="7429" max="7431" width="0" style="122" hidden="1" customWidth="1"/>
    <col min="7432" max="7432" width="7.85546875" style="122" bestFit="1" customWidth="1"/>
    <col min="7433" max="7433" width="8.7109375" style="122" customWidth="1"/>
    <col min="7434" max="7434" width="11.28515625" style="122" customWidth="1"/>
    <col min="7435" max="7680" width="9.140625" style="122"/>
    <col min="7681" max="7681" width="4.7109375" style="122" bestFit="1" customWidth="1"/>
    <col min="7682" max="7682" width="34.28515625" style="122" customWidth="1"/>
    <col min="7683" max="7683" width="7.5703125" style="122" bestFit="1" customWidth="1"/>
    <col min="7684" max="7684" width="10.42578125" style="122" bestFit="1" customWidth="1"/>
    <col min="7685" max="7687" width="0" style="122" hidden="1" customWidth="1"/>
    <col min="7688" max="7688" width="7.85546875" style="122" bestFit="1" customWidth="1"/>
    <col min="7689" max="7689" width="8.7109375" style="122" customWidth="1"/>
    <col min="7690" max="7690" width="11.28515625" style="122" customWidth="1"/>
    <col min="7691" max="7936" width="9.140625" style="122"/>
    <col min="7937" max="7937" width="4.7109375" style="122" bestFit="1" customWidth="1"/>
    <col min="7938" max="7938" width="34.28515625" style="122" customWidth="1"/>
    <col min="7939" max="7939" width="7.5703125" style="122" bestFit="1" customWidth="1"/>
    <col min="7940" max="7940" width="10.42578125" style="122" bestFit="1" customWidth="1"/>
    <col min="7941" max="7943" width="0" style="122" hidden="1" customWidth="1"/>
    <col min="7944" max="7944" width="7.85546875" style="122" bestFit="1" customWidth="1"/>
    <col min="7945" max="7945" width="8.7109375" style="122" customWidth="1"/>
    <col min="7946" max="7946" width="11.28515625" style="122" customWidth="1"/>
    <col min="7947" max="8192" width="9.140625" style="122"/>
    <col min="8193" max="8193" width="4.7109375" style="122" bestFit="1" customWidth="1"/>
    <col min="8194" max="8194" width="34.28515625" style="122" customWidth="1"/>
    <col min="8195" max="8195" width="7.5703125" style="122" bestFit="1" customWidth="1"/>
    <col min="8196" max="8196" width="10.42578125" style="122" bestFit="1" customWidth="1"/>
    <col min="8197" max="8199" width="0" style="122" hidden="1" customWidth="1"/>
    <col min="8200" max="8200" width="7.85546875" style="122" bestFit="1" customWidth="1"/>
    <col min="8201" max="8201" width="8.7109375" style="122" customWidth="1"/>
    <col min="8202" max="8202" width="11.28515625" style="122" customWidth="1"/>
    <col min="8203" max="8448" width="9.140625" style="122"/>
    <col min="8449" max="8449" width="4.7109375" style="122" bestFit="1" customWidth="1"/>
    <col min="8450" max="8450" width="34.28515625" style="122" customWidth="1"/>
    <col min="8451" max="8451" width="7.5703125" style="122" bestFit="1" customWidth="1"/>
    <col min="8452" max="8452" width="10.42578125" style="122" bestFit="1" customWidth="1"/>
    <col min="8453" max="8455" width="0" style="122" hidden="1" customWidth="1"/>
    <col min="8456" max="8456" width="7.85546875" style="122" bestFit="1" customWidth="1"/>
    <col min="8457" max="8457" width="8.7109375" style="122" customWidth="1"/>
    <col min="8458" max="8458" width="11.28515625" style="122" customWidth="1"/>
    <col min="8459" max="8704" width="9.140625" style="122"/>
    <col min="8705" max="8705" width="4.7109375" style="122" bestFit="1" customWidth="1"/>
    <col min="8706" max="8706" width="34.28515625" style="122" customWidth="1"/>
    <col min="8707" max="8707" width="7.5703125" style="122" bestFit="1" customWidth="1"/>
    <col min="8708" max="8708" width="10.42578125" style="122" bestFit="1" customWidth="1"/>
    <col min="8709" max="8711" width="0" style="122" hidden="1" customWidth="1"/>
    <col min="8712" max="8712" width="7.85546875" style="122" bestFit="1" customWidth="1"/>
    <col min="8713" max="8713" width="8.7109375" style="122" customWidth="1"/>
    <col min="8714" max="8714" width="11.28515625" style="122" customWidth="1"/>
    <col min="8715" max="8960" width="9.140625" style="122"/>
    <col min="8961" max="8961" width="4.7109375" style="122" bestFit="1" customWidth="1"/>
    <col min="8962" max="8962" width="34.28515625" style="122" customWidth="1"/>
    <col min="8963" max="8963" width="7.5703125" style="122" bestFit="1" customWidth="1"/>
    <col min="8964" max="8964" width="10.42578125" style="122" bestFit="1" customWidth="1"/>
    <col min="8965" max="8967" width="0" style="122" hidden="1" customWidth="1"/>
    <col min="8968" max="8968" width="7.85546875" style="122" bestFit="1" customWidth="1"/>
    <col min="8969" max="8969" width="8.7109375" style="122" customWidth="1"/>
    <col min="8970" max="8970" width="11.28515625" style="122" customWidth="1"/>
    <col min="8971" max="9216" width="9.140625" style="122"/>
    <col min="9217" max="9217" width="4.7109375" style="122" bestFit="1" customWidth="1"/>
    <col min="9218" max="9218" width="34.28515625" style="122" customWidth="1"/>
    <col min="9219" max="9219" width="7.5703125" style="122" bestFit="1" customWidth="1"/>
    <col min="9220" max="9220" width="10.42578125" style="122" bestFit="1" customWidth="1"/>
    <col min="9221" max="9223" width="0" style="122" hidden="1" customWidth="1"/>
    <col min="9224" max="9224" width="7.85546875" style="122" bestFit="1" customWidth="1"/>
    <col min="9225" max="9225" width="8.7109375" style="122" customWidth="1"/>
    <col min="9226" max="9226" width="11.28515625" style="122" customWidth="1"/>
    <col min="9227" max="9472" width="9.140625" style="122"/>
    <col min="9473" max="9473" width="4.7109375" style="122" bestFit="1" customWidth="1"/>
    <col min="9474" max="9474" width="34.28515625" style="122" customWidth="1"/>
    <col min="9475" max="9475" width="7.5703125" style="122" bestFit="1" customWidth="1"/>
    <col min="9476" max="9476" width="10.42578125" style="122" bestFit="1" customWidth="1"/>
    <col min="9477" max="9479" width="0" style="122" hidden="1" customWidth="1"/>
    <col min="9480" max="9480" width="7.85546875" style="122" bestFit="1" customWidth="1"/>
    <col min="9481" max="9481" width="8.7109375" style="122" customWidth="1"/>
    <col min="9482" max="9482" width="11.28515625" style="122" customWidth="1"/>
    <col min="9483" max="9728" width="9.140625" style="122"/>
    <col min="9729" max="9729" width="4.7109375" style="122" bestFit="1" customWidth="1"/>
    <col min="9730" max="9730" width="34.28515625" style="122" customWidth="1"/>
    <col min="9731" max="9731" width="7.5703125" style="122" bestFit="1" customWidth="1"/>
    <col min="9732" max="9732" width="10.42578125" style="122" bestFit="1" customWidth="1"/>
    <col min="9733" max="9735" width="0" style="122" hidden="1" customWidth="1"/>
    <col min="9736" max="9736" width="7.85546875" style="122" bestFit="1" customWidth="1"/>
    <col min="9737" max="9737" width="8.7109375" style="122" customWidth="1"/>
    <col min="9738" max="9738" width="11.28515625" style="122" customWidth="1"/>
    <col min="9739" max="9984" width="9.140625" style="122"/>
    <col min="9985" max="9985" width="4.7109375" style="122" bestFit="1" customWidth="1"/>
    <col min="9986" max="9986" width="34.28515625" style="122" customWidth="1"/>
    <col min="9987" max="9987" width="7.5703125" style="122" bestFit="1" customWidth="1"/>
    <col min="9988" max="9988" width="10.42578125" style="122" bestFit="1" customWidth="1"/>
    <col min="9989" max="9991" width="0" style="122" hidden="1" customWidth="1"/>
    <col min="9992" max="9992" width="7.85546875" style="122" bestFit="1" customWidth="1"/>
    <col min="9993" max="9993" width="8.7109375" style="122" customWidth="1"/>
    <col min="9994" max="9994" width="11.28515625" style="122" customWidth="1"/>
    <col min="9995" max="10240" width="9.140625" style="122"/>
    <col min="10241" max="10241" width="4.7109375" style="122" bestFit="1" customWidth="1"/>
    <col min="10242" max="10242" width="34.28515625" style="122" customWidth="1"/>
    <col min="10243" max="10243" width="7.5703125" style="122" bestFit="1" customWidth="1"/>
    <col min="10244" max="10244" width="10.42578125" style="122" bestFit="1" customWidth="1"/>
    <col min="10245" max="10247" width="0" style="122" hidden="1" customWidth="1"/>
    <col min="10248" max="10248" width="7.85546875" style="122" bestFit="1" customWidth="1"/>
    <col min="10249" max="10249" width="8.7109375" style="122" customWidth="1"/>
    <col min="10250" max="10250" width="11.28515625" style="122" customWidth="1"/>
    <col min="10251" max="10496" width="9.140625" style="122"/>
    <col min="10497" max="10497" width="4.7109375" style="122" bestFit="1" customWidth="1"/>
    <col min="10498" max="10498" width="34.28515625" style="122" customWidth="1"/>
    <col min="10499" max="10499" width="7.5703125" style="122" bestFit="1" customWidth="1"/>
    <col min="10500" max="10500" width="10.42578125" style="122" bestFit="1" customWidth="1"/>
    <col min="10501" max="10503" width="0" style="122" hidden="1" customWidth="1"/>
    <col min="10504" max="10504" width="7.85546875" style="122" bestFit="1" customWidth="1"/>
    <col min="10505" max="10505" width="8.7109375" style="122" customWidth="1"/>
    <col min="10506" max="10506" width="11.28515625" style="122" customWidth="1"/>
    <col min="10507" max="10752" width="9.140625" style="122"/>
    <col min="10753" max="10753" width="4.7109375" style="122" bestFit="1" customWidth="1"/>
    <col min="10754" max="10754" width="34.28515625" style="122" customWidth="1"/>
    <col min="10755" max="10755" width="7.5703125" style="122" bestFit="1" customWidth="1"/>
    <col min="10756" max="10756" width="10.42578125" style="122" bestFit="1" customWidth="1"/>
    <col min="10757" max="10759" width="0" style="122" hidden="1" customWidth="1"/>
    <col min="10760" max="10760" width="7.85546875" style="122" bestFit="1" customWidth="1"/>
    <col min="10761" max="10761" width="8.7109375" style="122" customWidth="1"/>
    <col min="10762" max="10762" width="11.28515625" style="122" customWidth="1"/>
    <col min="10763" max="11008" width="9.140625" style="122"/>
    <col min="11009" max="11009" width="4.7109375" style="122" bestFit="1" customWidth="1"/>
    <col min="11010" max="11010" width="34.28515625" style="122" customWidth="1"/>
    <col min="11011" max="11011" width="7.5703125" style="122" bestFit="1" customWidth="1"/>
    <col min="11012" max="11012" width="10.42578125" style="122" bestFit="1" customWidth="1"/>
    <col min="11013" max="11015" width="0" style="122" hidden="1" customWidth="1"/>
    <col min="11016" max="11016" width="7.85546875" style="122" bestFit="1" customWidth="1"/>
    <col min="11017" max="11017" width="8.7109375" style="122" customWidth="1"/>
    <col min="11018" max="11018" width="11.28515625" style="122" customWidth="1"/>
    <col min="11019" max="11264" width="9.140625" style="122"/>
    <col min="11265" max="11265" width="4.7109375" style="122" bestFit="1" customWidth="1"/>
    <col min="11266" max="11266" width="34.28515625" style="122" customWidth="1"/>
    <col min="11267" max="11267" width="7.5703125" style="122" bestFit="1" customWidth="1"/>
    <col min="11268" max="11268" width="10.42578125" style="122" bestFit="1" customWidth="1"/>
    <col min="11269" max="11271" width="0" style="122" hidden="1" customWidth="1"/>
    <col min="11272" max="11272" width="7.85546875" style="122" bestFit="1" customWidth="1"/>
    <col min="11273" max="11273" width="8.7109375" style="122" customWidth="1"/>
    <col min="11274" max="11274" width="11.28515625" style="122" customWidth="1"/>
    <col min="11275" max="11520" width="9.140625" style="122"/>
    <col min="11521" max="11521" width="4.7109375" style="122" bestFit="1" customWidth="1"/>
    <col min="11522" max="11522" width="34.28515625" style="122" customWidth="1"/>
    <col min="11523" max="11523" width="7.5703125" style="122" bestFit="1" customWidth="1"/>
    <col min="11524" max="11524" width="10.42578125" style="122" bestFit="1" customWidth="1"/>
    <col min="11525" max="11527" width="0" style="122" hidden="1" customWidth="1"/>
    <col min="11528" max="11528" width="7.85546875" style="122" bestFit="1" customWidth="1"/>
    <col min="11529" max="11529" width="8.7109375" style="122" customWidth="1"/>
    <col min="11530" max="11530" width="11.28515625" style="122" customWidth="1"/>
    <col min="11531" max="11776" width="9.140625" style="122"/>
    <col min="11777" max="11777" width="4.7109375" style="122" bestFit="1" customWidth="1"/>
    <col min="11778" max="11778" width="34.28515625" style="122" customWidth="1"/>
    <col min="11779" max="11779" width="7.5703125" style="122" bestFit="1" customWidth="1"/>
    <col min="11780" max="11780" width="10.42578125" style="122" bestFit="1" customWidth="1"/>
    <col min="11781" max="11783" width="0" style="122" hidden="1" customWidth="1"/>
    <col min="11784" max="11784" width="7.85546875" style="122" bestFit="1" customWidth="1"/>
    <col min="11785" max="11785" width="8.7109375" style="122" customWidth="1"/>
    <col min="11786" max="11786" width="11.28515625" style="122" customWidth="1"/>
    <col min="11787" max="12032" width="9.140625" style="122"/>
    <col min="12033" max="12033" width="4.7109375" style="122" bestFit="1" customWidth="1"/>
    <col min="12034" max="12034" width="34.28515625" style="122" customWidth="1"/>
    <col min="12035" max="12035" width="7.5703125" style="122" bestFit="1" customWidth="1"/>
    <col min="12036" max="12036" width="10.42578125" style="122" bestFit="1" customWidth="1"/>
    <col min="12037" max="12039" width="0" style="122" hidden="1" customWidth="1"/>
    <col min="12040" max="12040" width="7.85546875" style="122" bestFit="1" customWidth="1"/>
    <col min="12041" max="12041" width="8.7109375" style="122" customWidth="1"/>
    <col min="12042" max="12042" width="11.28515625" style="122" customWidth="1"/>
    <col min="12043" max="12288" width="9.140625" style="122"/>
    <col min="12289" max="12289" width="4.7109375" style="122" bestFit="1" customWidth="1"/>
    <col min="12290" max="12290" width="34.28515625" style="122" customWidth="1"/>
    <col min="12291" max="12291" width="7.5703125" style="122" bestFit="1" customWidth="1"/>
    <col min="12292" max="12292" width="10.42578125" style="122" bestFit="1" customWidth="1"/>
    <col min="12293" max="12295" width="0" style="122" hidden="1" customWidth="1"/>
    <col min="12296" max="12296" width="7.85546875" style="122" bestFit="1" customWidth="1"/>
    <col min="12297" max="12297" width="8.7109375" style="122" customWidth="1"/>
    <col min="12298" max="12298" width="11.28515625" style="122" customWidth="1"/>
    <col min="12299" max="12544" width="9.140625" style="122"/>
    <col min="12545" max="12545" width="4.7109375" style="122" bestFit="1" customWidth="1"/>
    <col min="12546" max="12546" width="34.28515625" style="122" customWidth="1"/>
    <col min="12547" max="12547" width="7.5703125" style="122" bestFit="1" customWidth="1"/>
    <col min="12548" max="12548" width="10.42578125" style="122" bestFit="1" customWidth="1"/>
    <col min="12549" max="12551" width="0" style="122" hidden="1" customWidth="1"/>
    <col min="12552" max="12552" width="7.85546875" style="122" bestFit="1" customWidth="1"/>
    <col min="12553" max="12553" width="8.7109375" style="122" customWidth="1"/>
    <col min="12554" max="12554" width="11.28515625" style="122" customWidth="1"/>
    <col min="12555" max="12800" width="9.140625" style="122"/>
    <col min="12801" max="12801" width="4.7109375" style="122" bestFit="1" customWidth="1"/>
    <col min="12802" max="12802" width="34.28515625" style="122" customWidth="1"/>
    <col min="12803" max="12803" width="7.5703125" style="122" bestFit="1" customWidth="1"/>
    <col min="12804" max="12804" width="10.42578125" style="122" bestFit="1" customWidth="1"/>
    <col min="12805" max="12807" width="0" style="122" hidden="1" customWidth="1"/>
    <col min="12808" max="12808" width="7.85546875" style="122" bestFit="1" customWidth="1"/>
    <col min="12809" max="12809" width="8.7109375" style="122" customWidth="1"/>
    <col min="12810" max="12810" width="11.28515625" style="122" customWidth="1"/>
    <col min="12811" max="13056" width="9.140625" style="122"/>
    <col min="13057" max="13057" width="4.7109375" style="122" bestFit="1" customWidth="1"/>
    <col min="13058" max="13058" width="34.28515625" style="122" customWidth="1"/>
    <col min="13059" max="13059" width="7.5703125" style="122" bestFit="1" customWidth="1"/>
    <col min="13060" max="13060" width="10.42578125" style="122" bestFit="1" customWidth="1"/>
    <col min="13061" max="13063" width="0" style="122" hidden="1" customWidth="1"/>
    <col min="13064" max="13064" width="7.85546875" style="122" bestFit="1" customWidth="1"/>
    <col min="13065" max="13065" width="8.7109375" style="122" customWidth="1"/>
    <col min="13066" max="13066" width="11.28515625" style="122" customWidth="1"/>
    <col min="13067" max="13312" width="9.140625" style="122"/>
    <col min="13313" max="13313" width="4.7109375" style="122" bestFit="1" customWidth="1"/>
    <col min="13314" max="13314" width="34.28515625" style="122" customWidth="1"/>
    <col min="13315" max="13315" width="7.5703125" style="122" bestFit="1" customWidth="1"/>
    <col min="13316" max="13316" width="10.42578125" style="122" bestFit="1" customWidth="1"/>
    <col min="13317" max="13319" width="0" style="122" hidden="1" customWidth="1"/>
    <col min="13320" max="13320" width="7.85546875" style="122" bestFit="1" customWidth="1"/>
    <col min="13321" max="13321" width="8.7109375" style="122" customWidth="1"/>
    <col min="13322" max="13322" width="11.28515625" style="122" customWidth="1"/>
    <col min="13323" max="13568" width="9.140625" style="122"/>
    <col min="13569" max="13569" width="4.7109375" style="122" bestFit="1" customWidth="1"/>
    <col min="13570" max="13570" width="34.28515625" style="122" customWidth="1"/>
    <col min="13571" max="13571" width="7.5703125" style="122" bestFit="1" customWidth="1"/>
    <col min="13572" max="13572" width="10.42578125" style="122" bestFit="1" customWidth="1"/>
    <col min="13573" max="13575" width="0" style="122" hidden="1" customWidth="1"/>
    <col min="13576" max="13576" width="7.85546875" style="122" bestFit="1" customWidth="1"/>
    <col min="13577" max="13577" width="8.7109375" style="122" customWidth="1"/>
    <col min="13578" max="13578" width="11.28515625" style="122" customWidth="1"/>
    <col min="13579" max="13824" width="9.140625" style="122"/>
    <col min="13825" max="13825" width="4.7109375" style="122" bestFit="1" customWidth="1"/>
    <col min="13826" max="13826" width="34.28515625" style="122" customWidth="1"/>
    <col min="13827" max="13827" width="7.5703125" style="122" bestFit="1" customWidth="1"/>
    <col min="13828" max="13828" width="10.42578125" style="122" bestFit="1" customWidth="1"/>
    <col min="13829" max="13831" width="0" style="122" hidden="1" customWidth="1"/>
    <col min="13832" max="13832" width="7.85546875" style="122" bestFit="1" customWidth="1"/>
    <col min="13833" max="13833" width="8.7109375" style="122" customWidth="1"/>
    <col min="13834" max="13834" width="11.28515625" style="122" customWidth="1"/>
    <col min="13835" max="14080" width="9.140625" style="122"/>
    <col min="14081" max="14081" width="4.7109375" style="122" bestFit="1" customWidth="1"/>
    <col min="14082" max="14082" width="34.28515625" style="122" customWidth="1"/>
    <col min="14083" max="14083" width="7.5703125" style="122" bestFit="1" customWidth="1"/>
    <col min="14084" max="14084" width="10.42578125" style="122" bestFit="1" customWidth="1"/>
    <col min="14085" max="14087" width="0" style="122" hidden="1" customWidth="1"/>
    <col min="14088" max="14088" width="7.85546875" style="122" bestFit="1" customWidth="1"/>
    <col min="14089" max="14089" width="8.7109375" style="122" customWidth="1"/>
    <col min="14090" max="14090" width="11.28515625" style="122" customWidth="1"/>
    <col min="14091" max="14336" width="9.140625" style="122"/>
    <col min="14337" max="14337" width="4.7109375" style="122" bestFit="1" customWidth="1"/>
    <col min="14338" max="14338" width="34.28515625" style="122" customWidth="1"/>
    <col min="14339" max="14339" width="7.5703125" style="122" bestFit="1" customWidth="1"/>
    <col min="14340" max="14340" width="10.42578125" style="122" bestFit="1" customWidth="1"/>
    <col min="14341" max="14343" width="0" style="122" hidden="1" customWidth="1"/>
    <col min="14344" max="14344" width="7.85546875" style="122" bestFit="1" customWidth="1"/>
    <col min="14345" max="14345" width="8.7109375" style="122" customWidth="1"/>
    <col min="14346" max="14346" width="11.28515625" style="122" customWidth="1"/>
    <col min="14347" max="14592" width="9.140625" style="122"/>
    <col min="14593" max="14593" width="4.7109375" style="122" bestFit="1" customWidth="1"/>
    <col min="14594" max="14594" width="34.28515625" style="122" customWidth="1"/>
    <col min="14595" max="14595" width="7.5703125" style="122" bestFit="1" customWidth="1"/>
    <col min="14596" max="14596" width="10.42578125" style="122" bestFit="1" customWidth="1"/>
    <col min="14597" max="14599" width="0" style="122" hidden="1" customWidth="1"/>
    <col min="14600" max="14600" width="7.85546875" style="122" bestFit="1" customWidth="1"/>
    <col min="14601" max="14601" width="8.7109375" style="122" customWidth="1"/>
    <col min="14602" max="14602" width="11.28515625" style="122" customWidth="1"/>
    <col min="14603" max="14848" width="9.140625" style="122"/>
    <col min="14849" max="14849" width="4.7109375" style="122" bestFit="1" customWidth="1"/>
    <col min="14850" max="14850" width="34.28515625" style="122" customWidth="1"/>
    <col min="14851" max="14851" width="7.5703125" style="122" bestFit="1" customWidth="1"/>
    <col min="14852" max="14852" width="10.42578125" style="122" bestFit="1" customWidth="1"/>
    <col min="14853" max="14855" width="0" style="122" hidden="1" customWidth="1"/>
    <col min="14856" max="14856" width="7.85546875" style="122" bestFit="1" customWidth="1"/>
    <col min="14857" max="14857" width="8.7109375" style="122" customWidth="1"/>
    <col min="14858" max="14858" width="11.28515625" style="122" customWidth="1"/>
    <col min="14859" max="15104" width="9.140625" style="122"/>
    <col min="15105" max="15105" width="4.7109375" style="122" bestFit="1" customWidth="1"/>
    <col min="15106" max="15106" width="34.28515625" style="122" customWidth="1"/>
    <col min="15107" max="15107" width="7.5703125" style="122" bestFit="1" customWidth="1"/>
    <col min="15108" max="15108" width="10.42578125" style="122" bestFit="1" customWidth="1"/>
    <col min="15109" max="15111" width="0" style="122" hidden="1" customWidth="1"/>
    <col min="15112" max="15112" width="7.85546875" style="122" bestFit="1" customWidth="1"/>
    <col min="15113" max="15113" width="8.7109375" style="122" customWidth="1"/>
    <col min="15114" max="15114" width="11.28515625" style="122" customWidth="1"/>
    <col min="15115" max="15360" width="9.140625" style="122"/>
    <col min="15361" max="15361" width="4.7109375" style="122" bestFit="1" customWidth="1"/>
    <col min="15362" max="15362" width="34.28515625" style="122" customWidth="1"/>
    <col min="15363" max="15363" width="7.5703125" style="122" bestFit="1" customWidth="1"/>
    <col min="15364" max="15364" width="10.42578125" style="122" bestFit="1" customWidth="1"/>
    <col min="15365" max="15367" width="0" style="122" hidden="1" customWidth="1"/>
    <col min="15368" max="15368" width="7.85546875" style="122" bestFit="1" customWidth="1"/>
    <col min="15369" max="15369" width="8.7109375" style="122" customWidth="1"/>
    <col min="15370" max="15370" width="11.28515625" style="122" customWidth="1"/>
    <col min="15371" max="15616" width="9.140625" style="122"/>
    <col min="15617" max="15617" width="4.7109375" style="122" bestFit="1" customWidth="1"/>
    <col min="15618" max="15618" width="34.28515625" style="122" customWidth="1"/>
    <col min="15619" max="15619" width="7.5703125" style="122" bestFit="1" customWidth="1"/>
    <col min="15620" max="15620" width="10.42578125" style="122" bestFit="1" customWidth="1"/>
    <col min="15621" max="15623" width="0" style="122" hidden="1" customWidth="1"/>
    <col min="15624" max="15624" width="7.85546875" style="122" bestFit="1" customWidth="1"/>
    <col min="15625" max="15625" width="8.7109375" style="122" customWidth="1"/>
    <col min="15626" max="15626" width="11.28515625" style="122" customWidth="1"/>
    <col min="15627" max="15872" width="9.140625" style="122"/>
    <col min="15873" max="15873" width="4.7109375" style="122" bestFit="1" customWidth="1"/>
    <col min="15874" max="15874" width="34.28515625" style="122" customWidth="1"/>
    <col min="15875" max="15875" width="7.5703125" style="122" bestFit="1" customWidth="1"/>
    <col min="15876" max="15876" width="10.42578125" style="122" bestFit="1" customWidth="1"/>
    <col min="15877" max="15879" width="0" style="122" hidden="1" customWidth="1"/>
    <col min="15880" max="15880" width="7.85546875" style="122" bestFit="1" customWidth="1"/>
    <col min="15881" max="15881" width="8.7109375" style="122" customWidth="1"/>
    <col min="15882" max="15882" width="11.28515625" style="122" customWidth="1"/>
    <col min="15883" max="16128" width="9.140625" style="122"/>
    <col min="16129" max="16129" width="4.7109375" style="122" bestFit="1" customWidth="1"/>
    <col min="16130" max="16130" width="34.28515625" style="122" customWidth="1"/>
    <col min="16131" max="16131" width="7.5703125" style="122" bestFit="1" customWidth="1"/>
    <col min="16132" max="16132" width="10.42578125" style="122" bestFit="1" customWidth="1"/>
    <col min="16133" max="16135" width="0" style="122" hidden="1" customWidth="1"/>
    <col min="16136" max="16136" width="7.85546875" style="122" bestFit="1" customWidth="1"/>
    <col min="16137" max="16137" width="8.7109375" style="122" customWidth="1"/>
    <col min="16138" max="16138" width="11.28515625" style="122" customWidth="1"/>
    <col min="16139" max="16384" width="9.140625" style="122"/>
  </cols>
  <sheetData>
    <row r="1" spans="1:10" ht="15" x14ac:dyDescent="0.2">
      <c r="A1" s="406" t="s">
        <v>309</v>
      </c>
      <c r="B1" s="406"/>
      <c r="C1" s="406"/>
      <c r="D1" s="406"/>
      <c r="E1" s="406"/>
      <c r="F1" s="406"/>
      <c r="G1" s="406"/>
      <c r="H1" s="406"/>
      <c r="I1" s="406"/>
    </row>
    <row r="2" spans="1:10" x14ac:dyDescent="0.2">
      <c r="A2" s="143"/>
      <c r="B2" s="144"/>
      <c r="C2" s="143"/>
      <c r="D2" s="143"/>
      <c r="E2" s="143"/>
      <c r="F2" s="143"/>
      <c r="G2" s="143"/>
      <c r="H2" s="143"/>
      <c r="I2" s="143"/>
    </row>
    <row r="3" spans="1:10" ht="20.25" customHeight="1" x14ac:dyDescent="0.2">
      <c r="A3" s="407" t="s">
        <v>323</v>
      </c>
      <c r="B3" s="407"/>
      <c r="C3" s="407"/>
      <c r="D3" s="407"/>
      <c r="E3" s="407"/>
      <c r="F3" s="407"/>
      <c r="G3" s="407"/>
      <c r="H3" s="407"/>
      <c r="I3" s="407"/>
    </row>
    <row r="4" spans="1:10" s="124" customFormat="1" ht="32.25" customHeight="1" x14ac:dyDescent="0.2">
      <c r="A4" s="123" t="s">
        <v>91</v>
      </c>
      <c r="B4" s="123" t="s">
        <v>233</v>
      </c>
      <c r="C4" s="123" t="s">
        <v>234</v>
      </c>
      <c r="D4" s="123" t="s">
        <v>235</v>
      </c>
      <c r="E4" s="123" t="s">
        <v>324</v>
      </c>
      <c r="F4" s="123" t="s">
        <v>325</v>
      </c>
      <c r="G4" s="123" t="s">
        <v>326</v>
      </c>
      <c r="H4" s="123" t="s">
        <v>176</v>
      </c>
      <c r="I4" s="123" t="s">
        <v>177</v>
      </c>
    </row>
    <row r="5" spans="1:10" ht="96.75" customHeight="1" x14ac:dyDescent="0.2">
      <c r="A5" s="125">
        <v>1</v>
      </c>
      <c r="B5" s="145" t="s">
        <v>327</v>
      </c>
      <c r="C5" s="125" t="s">
        <v>238</v>
      </c>
      <c r="D5" s="125">
        <v>4</v>
      </c>
      <c r="E5" s="126">
        <v>71</v>
      </c>
      <c r="F5" s="126">
        <v>68</v>
      </c>
      <c r="G5" s="126">
        <v>68</v>
      </c>
      <c r="H5" s="126">
        <v>179</v>
      </c>
      <c r="I5" s="126">
        <f t="shared" ref="I5:I7" si="0">D5*H5</f>
        <v>716</v>
      </c>
      <c r="J5" s="184"/>
    </row>
    <row r="6" spans="1:10" ht="24.95" customHeight="1" x14ac:dyDescent="0.2">
      <c r="A6" s="125">
        <v>2</v>
      </c>
      <c r="B6" s="146" t="s">
        <v>328</v>
      </c>
      <c r="C6" s="125" t="s">
        <v>329</v>
      </c>
      <c r="D6" s="125">
        <v>8</v>
      </c>
      <c r="E6" s="126">
        <v>7.99</v>
      </c>
      <c r="F6" s="126">
        <v>7.9</v>
      </c>
      <c r="G6" s="126">
        <v>6.9</v>
      </c>
      <c r="H6" s="126">
        <v>10</v>
      </c>
      <c r="I6" s="126">
        <f t="shared" si="0"/>
        <v>80</v>
      </c>
      <c r="J6" s="184"/>
    </row>
    <row r="7" spans="1:10" ht="138" customHeight="1" x14ac:dyDescent="0.2">
      <c r="A7" s="125">
        <v>3</v>
      </c>
      <c r="B7" s="145" t="s">
        <v>330</v>
      </c>
      <c r="C7" s="125" t="s">
        <v>329</v>
      </c>
      <c r="D7" s="125">
        <v>2</v>
      </c>
      <c r="E7" s="126">
        <v>63</v>
      </c>
      <c r="F7" s="126">
        <v>96.49</v>
      </c>
      <c r="G7" s="126">
        <v>89.68</v>
      </c>
      <c r="H7" s="126">
        <v>180</v>
      </c>
      <c r="I7" s="126">
        <f t="shared" si="0"/>
        <v>360</v>
      </c>
    </row>
    <row r="8" spans="1:10" ht="21.75" customHeight="1" x14ac:dyDescent="0.2">
      <c r="A8" s="125">
        <v>4</v>
      </c>
      <c r="B8" s="147" t="s">
        <v>331</v>
      </c>
      <c r="C8" s="125" t="s">
        <v>312</v>
      </c>
      <c r="D8" s="125">
        <v>2</v>
      </c>
      <c r="E8" s="126"/>
      <c r="F8" s="126"/>
      <c r="G8" s="126"/>
      <c r="H8" s="126">
        <v>60</v>
      </c>
      <c r="I8" s="126">
        <f>D8*H8</f>
        <v>120</v>
      </c>
    </row>
    <row r="9" spans="1:10" ht="21.75" customHeight="1" x14ac:dyDescent="0.2">
      <c r="A9" s="125">
        <v>5</v>
      </c>
      <c r="B9" s="147" t="s">
        <v>332</v>
      </c>
      <c r="C9" s="125" t="s">
        <v>312</v>
      </c>
      <c r="D9" s="125">
        <v>2</v>
      </c>
      <c r="E9" s="126"/>
      <c r="F9" s="126"/>
      <c r="G9" s="126"/>
      <c r="H9" s="126">
        <v>10</v>
      </c>
      <c r="I9" s="126">
        <f>D9*H9</f>
        <v>20</v>
      </c>
    </row>
    <row r="10" spans="1:10" ht="21.75" customHeight="1" x14ac:dyDescent="0.2">
      <c r="A10" s="125">
        <v>6</v>
      </c>
      <c r="B10" s="147" t="s">
        <v>333</v>
      </c>
      <c r="C10" s="125" t="s">
        <v>296</v>
      </c>
      <c r="D10" s="125">
        <v>4</v>
      </c>
      <c r="E10" s="126"/>
      <c r="F10" s="126"/>
      <c r="G10" s="126"/>
      <c r="H10" s="126">
        <v>5</v>
      </c>
      <c r="I10" s="126">
        <f>D10*H10</f>
        <v>20</v>
      </c>
    </row>
    <row r="11" spans="1:10" ht="19.5" customHeight="1" x14ac:dyDescent="0.2">
      <c r="A11" s="407" t="s">
        <v>334</v>
      </c>
      <c r="B11" s="407"/>
      <c r="C11" s="407"/>
      <c r="D11" s="407"/>
      <c r="E11" s="407"/>
      <c r="F11" s="407"/>
      <c r="G11" s="407"/>
      <c r="H11" s="407"/>
      <c r="I11" s="127">
        <f>SUM(I5:I10)</f>
        <v>1316</v>
      </c>
    </row>
    <row r="12" spans="1:10" ht="21" customHeight="1" x14ac:dyDescent="0.2">
      <c r="A12" s="407" t="s">
        <v>335</v>
      </c>
      <c r="B12" s="407"/>
      <c r="C12" s="407"/>
      <c r="D12" s="407"/>
      <c r="E12" s="407"/>
      <c r="F12" s="407"/>
      <c r="G12" s="407"/>
      <c r="H12" s="407"/>
      <c r="I12" s="127">
        <f>I11/12</f>
        <v>109.66666666666667</v>
      </c>
    </row>
  </sheetData>
  <sheetProtection selectLockedCells="1" selectUnlockedCells="1"/>
  <mergeCells count="4">
    <mergeCell ref="A1:I1"/>
    <mergeCell ref="A3:I3"/>
    <mergeCell ref="A11:H11"/>
    <mergeCell ref="A12:H12"/>
  </mergeCells>
  <pageMargins left="0.70866141732283472" right="0.74803149606299213" top="0.98425196850393704" bottom="0.98425196850393704" header="0.51181102362204722" footer="0.51181102362204722"/>
  <pageSetup paperSize="9" scale="110" firstPageNumber="0" orientation="portrait" horizontalDpi="300" verticalDpi="300" r:id="rId1"/>
  <headerFooter alignWithMargins="0">
    <oddHeader>&amp;L&amp;"Times New Roman,Negrito"&amp;8MPS MINISTÉRIO DA PREVIDÊNCIA SOCIAL
INSS - Instituto Nacional do Seguro Social
CGEPI Divisão de Manutenção e Engenharia de Avaliação</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sheetPr>
  <dimension ref="A1:I15"/>
  <sheetViews>
    <sheetView topLeftCell="A10" zoomScaleNormal="100" zoomScaleSheetLayoutView="140" workbookViewId="0">
      <selection activeCell="I15" sqref="I15"/>
    </sheetView>
  </sheetViews>
  <sheetFormatPr defaultRowHeight="12.75" x14ac:dyDescent="0.2"/>
  <cols>
    <col min="1" max="1" width="4.7109375" style="122" bestFit="1" customWidth="1"/>
    <col min="2" max="2" width="34.28515625" style="122" customWidth="1"/>
    <col min="3" max="3" width="7.5703125" style="122" bestFit="1" customWidth="1"/>
    <col min="4" max="4" width="10.42578125" style="122" bestFit="1" customWidth="1"/>
    <col min="5" max="5" width="6.7109375" style="122" hidden="1" customWidth="1"/>
    <col min="6" max="7" width="7" style="122" hidden="1" customWidth="1"/>
    <col min="8" max="8" width="7.85546875" style="122" customWidth="1"/>
    <col min="9" max="9" width="8.7109375" style="122" customWidth="1"/>
    <col min="10" max="10" width="11.28515625" style="122" customWidth="1"/>
    <col min="11" max="256" width="9.140625" style="122"/>
    <col min="257" max="257" width="4.7109375" style="122" bestFit="1" customWidth="1"/>
    <col min="258" max="258" width="34.28515625" style="122" customWidth="1"/>
    <col min="259" max="259" width="7.5703125" style="122" bestFit="1" customWidth="1"/>
    <col min="260" max="260" width="10.42578125" style="122" bestFit="1" customWidth="1"/>
    <col min="261" max="263" width="0" style="122" hidden="1" customWidth="1"/>
    <col min="264" max="264" width="7.85546875" style="122" bestFit="1" customWidth="1"/>
    <col min="265" max="265" width="8.7109375" style="122" customWidth="1"/>
    <col min="266" max="266" width="11.28515625" style="122" customWidth="1"/>
    <col min="267" max="512" width="9.140625" style="122"/>
    <col min="513" max="513" width="4.7109375" style="122" bestFit="1" customWidth="1"/>
    <col min="514" max="514" width="34.28515625" style="122" customWidth="1"/>
    <col min="515" max="515" width="7.5703125" style="122" bestFit="1" customWidth="1"/>
    <col min="516" max="516" width="10.42578125" style="122" bestFit="1" customWidth="1"/>
    <col min="517" max="519" width="0" style="122" hidden="1" customWidth="1"/>
    <col min="520" max="520" width="7.85546875" style="122" bestFit="1" customWidth="1"/>
    <col min="521" max="521" width="8.7109375" style="122" customWidth="1"/>
    <col min="522" max="522" width="11.28515625" style="122" customWidth="1"/>
    <col min="523" max="768" width="9.140625" style="122"/>
    <col min="769" max="769" width="4.7109375" style="122" bestFit="1" customWidth="1"/>
    <col min="770" max="770" width="34.28515625" style="122" customWidth="1"/>
    <col min="771" max="771" width="7.5703125" style="122" bestFit="1" customWidth="1"/>
    <col min="772" max="772" width="10.42578125" style="122" bestFit="1" customWidth="1"/>
    <col min="773" max="775" width="0" style="122" hidden="1" customWidth="1"/>
    <col min="776" max="776" width="7.85546875" style="122" bestFit="1" customWidth="1"/>
    <col min="777" max="777" width="8.7109375" style="122" customWidth="1"/>
    <col min="778" max="778" width="11.28515625" style="122" customWidth="1"/>
    <col min="779" max="1024" width="9.140625" style="122"/>
    <col min="1025" max="1025" width="4.7109375" style="122" bestFit="1" customWidth="1"/>
    <col min="1026" max="1026" width="34.28515625" style="122" customWidth="1"/>
    <col min="1027" max="1027" width="7.5703125" style="122" bestFit="1" customWidth="1"/>
    <col min="1028" max="1028" width="10.42578125" style="122" bestFit="1" customWidth="1"/>
    <col min="1029" max="1031" width="0" style="122" hidden="1" customWidth="1"/>
    <col min="1032" max="1032" width="7.85546875" style="122" bestFit="1" customWidth="1"/>
    <col min="1033" max="1033" width="8.7109375" style="122" customWidth="1"/>
    <col min="1034" max="1034" width="11.28515625" style="122" customWidth="1"/>
    <col min="1035" max="1280" width="9.140625" style="122"/>
    <col min="1281" max="1281" width="4.7109375" style="122" bestFit="1" customWidth="1"/>
    <col min="1282" max="1282" width="34.28515625" style="122" customWidth="1"/>
    <col min="1283" max="1283" width="7.5703125" style="122" bestFit="1" customWidth="1"/>
    <col min="1284" max="1284" width="10.42578125" style="122" bestFit="1" customWidth="1"/>
    <col min="1285" max="1287" width="0" style="122" hidden="1" customWidth="1"/>
    <col min="1288" max="1288" width="7.85546875" style="122" bestFit="1" customWidth="1"/>
    <col min="1289" max="1289" width="8.7109375" style="122" customWidth="1"/>
    <col min="1290" max="1290" width="11.28515625" style="122" customWidth="1"/>
    <col min="1291" max="1536" width="9.140625" style="122"/>
    <col min="1537" max="1537" width="4.7109375" style="122" bestFit="1" customWidth="1"/>
    <col min="1538" max="1538" width="34.28515625" style="122" customWidth="1"/>
    <col min="1539" max="1539" width="7.5703125" style="122" bestFit="1" customWidth="1"/>
    <col min="1540" max="1540" width="10.42578125" style="122" bestFit="1" customWidth="1"/>
    <col min="1541" max="1543" width="0" style="122" hidden="1" customWidth="1"/>
    <col min="1544" max="1544" width="7.85546875" style="122" bestFit="1" customWidth="1"/>
    <col min="1545" max="1545" width="8.7109375" style="122" customWidth="1"/>
    <col min="1546" max="1546" width="11.28515625" style="122" customWidth="1"/>
    <col min="1547" max="1792" width="9.140625" style="122"/>
    <col min="1793" max="1793" width="4.7109375" style="122" bestFit="1" customWidth="1"/>
    <col min="1794" max="1794" width="34.28515625" style="122" customWidth="1"/>
    <col min="1795" max="1795" width="7.5703125" style="122" bestFit="1" customWidth="1"/>
    <col min="1796" max="1796" width="10.42578125" style="122" bestFit="1" customWidth="1"/>
    <col min="1797" max="1799" width="0" style="122" hidden="1" customWidth="1"/>
    <col min="1800" max="1800" width="7.85546875" style="122" bestFit="1" customWidth="1"/>
    <col min="1801" max="1801" width="8.7109375" style="122" customWidth="1"/>
    <col min="1802" max="1802" width="11.28515625" style="122" customWidth="1"/>
    <col min="1803" max="2048" width="9.140625" style="122"/>
    <col min="2049" max="2049" width="4.7109375" style="122" bestFit="1" customWidth="1"/>
    <col min="2050" max="2050" width="34.28515625" style="122" customWidth="1"/>
    <col min="2051" max="2051" width="7.5703125" style="122" bestFit="1" customWidth="1"/>
    <col min="2052" max="2052" width="10.42578125" style="122" bestFit="1" customWidth="1"/>
    <col min="2053" max="2055" width="0" style="122" hidden="1" customWidth="1"/>
    <col min="2056" max="2056" width="7.85546875" style="122" bestFit="1" customWidth="1"/>
    <col min="2057" max="2057" width="8.7109375" style="122" customWidth="1"/>
    <col min="2058" max="2058" width="11.28515625" style="122" customWidth="1"/>
    <col min="2059" max="2304" width="9.140625" style="122"/>
    <col min="2305" max="2305" width="4.7109375" style="122" bestFit="1" customWidth="1"/>
    <col min="2306" max="2306" width="34.28515625" style="122" customWidth="1"/>
    <col min="2307" max="2307" width="7.5703125" style="122" bestFit="1" customWidth="1"/>
    <col min="2308" max="2308" width="10.42578125" style="122" bestFit="1" customWidth="1"/>
    <col min="2309" max="2311" width="0" style="122" hidden="1" customWidth="1"/>
    <col min="2312" max="2312" width="7.85546875" style="122" bestFit="1" customWidth="1"/>
    <col min="2313" max="2313" width="8.7109375" style="122" customWidth="1"/>
    <col min="2314" max="2314" width="11.28515625" style="122" customWidth="1"/>
    <col min="2315" max="2560" width="9.140625" style="122"/>
    <col min="2561" max="2561" width="4.7109375" style="122" bestFit="1" customWidth="1"/>
    <col min="2562" max="2562" width="34.28515625" style="122" customWidth="1"/>
    <col min="2563" max="2563" width="7.5703125" style="122" bestFit="1" customWidth="1"/>
    <col min="2564" max="2564" width="10.42578125" style="122" bestFit="1" customWidth="1"/>
    <col min="2565" max="2567" width="0" style="122" hidden="1" customWidth="1"/>
    <col min="2568" max="2568" width="7.85546875" style="122" bestFit="1" customWidth="1"/>
    <col min="2569" max="2569" width="8.7109375" style="122" customWidth="1"/>
    <col min="2570" max="2570" width="11.28515625" style="122" customWidth="1"/>
    <col min="2571" max="2816" width="9.140625" style="122"/>
    <col min="2817" max="2817" width="4.7109375" style="122" bestFit="1" customWidth="1"/>
    <col min="2818" max="2818" width="34.28515625" style="122" customWidth="1"/>
    <col min="2819" max="2819" width="7.5703125" style="122" bestFit="1" customWidth="1"/>
    <col min="2820" max="2820" width="10.42578125" style="122" bestFit="1" customWidth="1"/>
    <col min="2821" max="2823" width="0" style="122" hidden="1" customWidth="1"/>
    <col min="2824" max="2824" width="7.85546875" style="122" bestFit="1" customWidth="1"/>
    <col min="2825" max="2825" width="8.7109375" style="122" customWidth="1"/>
    <col min="2826" max="2826" width="11.28515625" style="122" customWidth="1"/>
    <col min="2827" max="3072" width="9.140625" style="122"/>
    <col min="3073" max="3073" width="4.7109375" style="122" bestFit="1" customWidth="1"/>
    <col min="3074" max="3074" width="34.28515625" style="122" customWidth="1"/>
    <col min="3075" max="3075" width="7.5703125" style="122" bestFit="1" customWidth="1"/>
    <col min="3076" max="3076" width="10.42578125" style="122" bestFit="1" customWidth="1"/>
    <col min="3077" max="3079" width="0" style="122" hidden="1" customWidth="1"/>
    <col min="3080" max="3080" width="7.85546875" style="122" bestFit="1" customWidth="1"/>
    <col min="3081" max="3081" width="8.7109375" style="122" customWidth="1"/>
    <col min="3082" max="3082" width="11.28515625" style="122" customWidth="1"/>
    <col min="3083" max="3328" width="9.140625" style="122"/>
    <col min="3329" max="3329" width="4.7109375" style="122" bestFit="1" customWidth="1"/>
    <col min="3330" max="3330" width="34.28515625" style="122" customWidth="1"/>
    <col min="3331" max="3331" width="7.5703125" style="122" bestFit="1" customWidth="1"/>
    <col min="3332" max="3332" width="10.42578125" style="122" bestFit="1" customWidth="1"/>
    <col min="3333" max="3335" width="0" style="122" hidden="1" customWidth="1"/>
    <col min="3336" max="3336" width="7.85546875" style="122" bestFit="1" customWidth="1"/>
    <col min="3337" max="3337" width="8.7109375" style="122" customWidth="1"/>
    <col min="3338" max="3338" width="11.28515625" style="122" customWidth="1"/>
    <col min="3339" max="3584" width="9.140625" style="122"/>
    <col min="3585" max="3585" width="4.7109375" style="122" bestFit="1" customWidth="1"/>
    <col min="3586" max="3586" width="34.28515625" style="122" customWidth="1"/>
    <col min="3587" max="3587" width="7.5703125" style="122" bestFit="1" customWidth="1"/>
    <col min="3588" max="3588" width="10.42578125" style="122" bestFit="1" customWidth="1"/>
    <col min="3589" max="3591" width="0" style="122" hidden="1" customWidth="1"/>
    <col min="3592" max="3592" width="7.85546875" style="122" bestFit="1" customWidth="1"/>
    <col min="3593" max="3593" width="8.7109375" style="122" customWidth="1"/>
    <col min="3594" max="3594" width="11.28515625" style="122" customWidth="1"/>
    <col min="3595" max="3840" width="9.140625" style="122"/>
    <col min="3841" max="3841" width="4.7109375" style="122" bestFit="1" customWidth="1"/>
    <col min="3842" max="3842" width="34.28515625" style="122" customWidth="1"/>
    <col min="3843" max="3843" width="7.5703125" style="122" bestFit="1" customWidth="1"/>
    <col min="3844" max="3844" width="10.42578125" style="122" bestFit="1" customWidth="1"/>
    <col min="3845" max="3847" width="0" style="122" hidden="1" customWidth="1"/>
    <col min="3848" max="3848" width="7.85546875" style="122" bestFit="1" customWidth="1"/>
    <col min="3849" max="3849" width="8.7109375" style="122" customWidth="1"/>
    <col min="3850" max="3850" width="11.28515625" style="122" customWidth="1"/>
    <col min="3851" max="4096" width="9.140625" style="122"/>
    <col min="4097" max="4097" width="4.7109375" style="122" bestFit="1" customWidth="1"/>
    <col min="4098" max="4098" width="34.28515625" style="122" customWidth="1"/>
    <col min="4099" max="4099" width="7.5703125" style="122" bestFit="1" customWidth="1"/>
    <col min="4100" max="4100" width="10.42578125" style="122" bestFit="1" customWidth="1"/>
    <col min="4101" max="4103" width="0" style="122" hidden="1" customWidth="1"/>
    <col min="4104" max="4104" width="7.85546875" style="122" bestFit="1" customWidth="1"/>
    <col min="4105" max="4105" width="8.7109375" style="122" customWidth="1"/>
    <col min="4106" max="4106" width="11.28515625" style="122" customWidth="1"/>
    <col min="4107" max="4352" width="9.140625" style="122"/>
    <col min="4353" max="4353" width="4.7109375" style="122" bestFit="1" customWidth="1"/>
    <col min="4354" max="4354" width="34.28515625" style="122" customWidth="1"/>
    <col min="4355" max="4355" width="7.5703125" style="122" bestFit="1" customWidth="1"/>
    <col min="4356" max="4356" width="10.42578125" style="122" bestFit="1" customWidth="1"/>
    <col min="4357" max="4359" width="0" style="122" hidden="1" customWidth="1"/>
    <col min="4360" max="4360" width="7.85546875" style="122" bestFit="1" customWidth="1"/>
    <col min="4361" max="4361" width="8.7109375" style="122" customWidth="1"/>
    <col min="4362" max="4362" width="11.28515625" style="122" customWidth="1"/>
    <col min="4363" max="4608" width="9.140625" style="122"/>
    <col min="4609" max="4609" width="4.7109375" style="122" bestFit="1" customWidth="1"/>
    <col min="4610" max="4610" width="34.28515625" style="122" customWidth="1"/>
    <col min="4611" max="4611" width="7.5703125" style="122" bestFit="1" customWidth="1"/>
    <col min="4612" max="4612" width="10.42578125" style="122" bestFit="1" customWidth="1"/>
    <col min="4613" max="4615" width="0" style="122" hidden="1" customWidth="1"/>
    <col min="4616" max="4616" width="7.85546875" style="122" bestFit="1" customWidth="1"/>
    <col min="4617" max="4617" width="8.7109375" style="122" customWidth="1"/>
    <col min="4618" max="4618" width="11.28515625" style="122" customWidth="1"/>
    <col min="4619" max="4864" width="9.140625" style="122"/>
    <col min="4865" max="4865" width="4.7109375" style="122" bestFit="1" customWidth="1"/>
    <col min="4866" max="4866" width="34.28515625" style="122" customWidth="1"/>
    <col min="4867" max="4867" width="7.5703125" style="122" bestFit="1" customWidth="1"/>
    <col min="4868" max="4868" width="10.42578125" style="122" bestFit="1" customWidth="1"/>
    <col min="4869" max="4871" width="0" style="122" hidden="1" customWidth="1"/>
    <col min="4872" max="4872" width="7.85546875" style="122" bestFit="1" customWidth="1"/>
    <col min="4873" max="4873" width="8.7109375" style="122" customWidth="1"/>
    <col min="4874" max="4874" width="11.28515625" style="122" customWidth="1"/>
    <col min="4875" max="5120" width="9.140625" style="122"/>
    <col min="5121" max="5121" width="4.7109375" style="122" bestFit="1" customWidth="1"/>
    <col min="5122" max="5122" width="34.28515625" style="122" customWidth="1"/>
    <col min="5123" max="5123" width="7.5703125" style="122" bestFit="1" customWidth="1"/>
    <col min="5124" max="5124" width="10.42578125" style="122" bestFit="1" customWidth="1"/>
    <col min="5125" max="5127" width="0" style="122" hidden="1" customWidth="1"/>
    <col min="5128" max="5128" width="7.85546875" style="122" bestFit="1" customWidth="1"/>
    <col min="5129" max="5129" width="8.7109375" style="122" customWidth="1"/>
    <col min="5130" max="5130" width="11.28515625" style="122" customWidth="1"/>
    <col min="5131" max="5376" width="9.140625" style="122"/>
    <col min="5377" max="5377" width="4.7109375" style="122" bestFit="1" customWidth="1"/>
    <col min="5378" max="5378" width="34.28515625" style="122" customWidth="1"/>
    <col min="5379" max="5379" width="7.5703125" style="122" bestFit="1" customWidth="1"/>
    <col min="5380" max="5380" width="10.42578125" style="122" bestFit="1" customWidth="1"/>
    <col min="5381" max="5383" width="0" style="122" hidden="1" customWidth="1"/>
    <col min="5384" max="5384" width="7.85546875" style="122" bestFit="1" customWidth="1"/>
    <col min="5385" max="5385" width="8.7109375" style="122" customWidth="1"/>
    <col min="5386" max="5386" width="11.28515625" style="122" customWidth="1"/>
    <col min="5387" max="5632" width="9.140625" style="122"/>
    <col min="5633" max="5633" width="4.7109375" style="122" bestFit="1" customWidth="1"/>
    <col min="5634" max="5634" width="34.28515625" style="122" customWidth="1"/>
    <col min="5635" max="5635" width="7.5703125" style="122" bestFit="1" customWidth="1"/>
    <col min="5636" max="5636" width="10.42578125" style="122" bestFit="1" customWidth="1"/>
    <col min="5637" max="5639" width="0" style="122" hidden="1" customWidth="1"/>
    <col min="5640" max="5640" width="7.85546875" style="122" bestFit="1" customWidth="1"/>
    <col min="5641" max="5641" width="8.7109375" style="122" customWidth="1"/>
    <col min="5642" max="5642" width="11.28515625" style="122" customWidth="1"/>
    <col min="5643" max="5888" width="9.140625" style="122"/>
    <col min="5889" max="5889" width="4.7109375" style="122" bestFit="1" customWidth="1"/>
    <col min="5890" max="5890" width="34.28515625" style="122" customWidth="1"/>
    <col min="5891" max="5891" width="7.5703125" style="122" bestFit="1" customWidth="1"/>
    <col min="5892" max="5892" width="10.42578125" style="122" bestFit="1" customWidth="1"/>
    <col min="5893" max="5895" width="0" style="122" hidden="1" customWidth="1"/>
    <col min="5896" max="5896" width="7.85546875" style="122" bestFit="1" customWidth="1"/>
    <col min="5897" max="5897" width="8.7109375" style="122" customWidth="1"/>
    <col min="5898" max="5898" width="11.28515625" style="122" customWidth="1"/>
    <col min="5899" max="6144" width="9.140625" style="122"/>
    <col min="6145" max="6145" width="4.7109375" style="122" bestFit="1" customWidth="1"/>
    <col min="6146" max="6146" width="34.28515625" style="122" customWidth="1"/>
    <col min="6147" max="6147" width="7.5703125" style="122" bestFit="1" customWidth="1"/>
    <col min="6148" max="6148" width="10.42578125" style="122" bestFit="1" customWidth="1"/>
    <col min="6149" max="6151" width="0" style="122" hidden="1" customWidth="1"/>
    <col min="6152" max="6152" width="7.85546875" style="122" bestFit="1" customWidth="1"/>
    <col min="6153" max="6153" width="8.7109375" style="122" customWidth="1"/>
    <col min="6154" max="6154" width="11.28515625" style="122" customWidth="1"/>
    <col min="6155" max="6400" width="9.140625" style="122"/>
    <col min="6401" max="6401" width="4.7109375" style="122" bestFit="1" customWidth="1"/>
    <col min="6402" max="6402" width="34.28515625" style="122" customWidth="1"/>
    <col min="6403" max="6403" width="7.5703125" style="122" bestFit="1" customWidth="1"/>
    <col min="6404" max="6404" width="10.42578125" style="122" bestFit="1" customWidth="1"/>
    <col min="6405" max="6407" width="0" style="122" hidden="1" customWidth="1"/>
    <col min="6408" max="6408" width="7.85546875" style="122" bestFit="1" customWidth="1"/>
    <col min="6409" max="6409" width="8.7109375" style="122" customWidth="1"/>
    <col min="6410" max="6410" width="11.28515625" style="122" customWidth="1"/>
    <col min="6411" max="6656" width="9.140625" style="122"/>
    <col min="6657" max="6657" width="4.7109375" style="122" bestFit="1" customWidth="1"/>
    <col min="6658" max="6658" width="34.28515625" style="122" customWidth="1"/>
    <col min="6659" max="6659" width="7.5703125" style="122" bestFit="1" customWidth="1"/>
    <col min="6660" max="6660" width="10.42578125" style="122" bestFit="1" customWidth="1"/>
    <col min="6661" max="6663" width="0" style="122" hidden="1" customWidth="1"/>
    <col min="6664" max="6664" width="7.85546875" style="122" bestFit="1" customWidth="1"/>
    <col min="6665" max="6665" width="8.7109375" style="122" customWidth="1"/>
    <col min="6666" max="6666" width="11.28515625" style="122" customWidth="1"/>
    <col min="6667" max="6912" width="9.140625" style="122"/>
    <col min="6913" max="6913" width="4.7109375" style="122" bestFit="1" customWidth="1"/>
    <col min="6914" max="6914" width="34.28515625" style="122" customWidth="1"/>
    <col min="6915" max="6915" width="7.5703125" style="122" bestFit="1" customWidth="1"/>
    <col min="6916" max="6916" width="10.42578125" style="122" bestFit="1" customWidth="1"/>
    <col min="6917" max="6919" width="0" style="122" hidden="1" customWidth="1"/>
    <col min="6920" max="6920" width="7.85546875" style="122" bestFit="1" customWidth="1"/>
    <col min="6921" max="6921" width="8.7109375" style="122" customWidth="1"/>
    <col min="6922" max="6922" width="11.28515625" style="122" customWidth="1"/>
    <col min="6923" max="7168" width="9.140625" style="122"/>
    <col min="7169" max="7169" width="4.7109375" style="122" bestFit="1" customWidth="1"/>
    <col min="7170" max="7170" width="34.28515625" style="122" customWidth="1"/>
    <col min="7171" max="7171" width="7.5703125" style="122" bestFit="1" customWidth="1"/>
    <col min="7172" max="7172" width="10.42578125" style="122" bestFit="1" customWidth="1"/>
    <col min="7173" max="7175" width="0" style="122" hidden="1" customWidth="1"/>
    <col min="7176" max="7176" width="7.85546875" style="122" bestFit="1" customWidth="1"/>
    <col min="7177" max="7177" width="8.7109375" style="122" customWidth="1"/>
    <col min="7178" max="7178" width="11.28515625" style="122" customWidth="1"/>
    <col min="7179" max="7424" width="9.140625" style="122"/>
    <col min="7425" max="7425" width="4.7109375" style="122" bestFit="1" customWidth="1"/>
    <col min="7426" max="7426" width="34.28515625" style="122" customWidth="1"/>
    <col min="7427" max="7427" width="7.5703125" style="122" bestFit="1" customWidth="1"/>
    <col min="7428" max="7428" width="10.42578125" style="122" bestFit="1" customWidth="1"/>
    <col min="7429" max="7431" width="0" style="122" hidden="1" customWidth="1"/>
    <col min="7432" max="7432" width="7.85546875" style="122" bestFit="1" customWidth="1"/>
    <col min="7433" max="7433" width="8.7109375" style="122" customWidth="1"/>
    <col min="7434" max="7434" width="11.28515625" style="122" customWidth="1"/>
    <col min="7435" max="7680" width="9.140625" style="122"/>
    <col min="7681" max="7681" width="4.7109375" style="122" bestFit="1" customWidth="1"/>
    <col min="7682" max="7682" width="34.28515625" style="122" customWidth="1"/>
    <col min="7683" max="7683" width="7.5703125" style="122" bestFit="1" customWidth="1"/>
    <col min="7684" max="7684" width="10.42578125" style="122" bestFit="1" customWidth="1"/>
    <col min="7685" max="7687" width="0" style="122" hidden="1" customWidth="1"/>
    <col min="7688" max="7688" width="7.85546875" style="122" bestFit="1" customWidth="1"/>
    <col min="7689" max="7689" width="8.7109375" style="122" customWidth="1"/>
    <col min="7690" max="7690" width="11.28515625" style="122" customWidth="1"/>
    <col min="7691" max="7936" width="9.140625" style="122"/>
    <col min="7937" max="7937" width="4.7109375" style="122" bestFit="1" customWidth="1"/>
    <col min="7938" max="7938" width="34.28515625" style="122" customWidth="1"/>
    <col min="7939" max="7939" width="7.5703125" style="122" bestFit="1" customWidth="1"/>
    <col min="7940" max="7940" width="10.42578125" style="122" bestFit="1" customWidth="1"/>
    <col min="7941" max="7943" width="0" style="122" hidden="1" customWidth="1"/>
    <col min="7944" max="7944" width="7.85546875" style="122" bestFit="1" customWidth="1"/>
    <col min="7945" max="7945" width="8.7109375" style="122" customWidth="1"/>
    <col min="7946" max="7946" width="11.28515625" style="122" customWidth="1"/>
    <col min="7947" max="8192" width="9.140625" style="122"/>
    <col min="8193" max="8193" width="4.7109375" style="122" bestFit="1" customWidth="1"/>
    <col min="8194" max="8194" width="34.28515625" style="122" customWidth="1"/>
    <col min="8195" max="8195" width="7.5703125" style="122" bestFit="1" customWidth="1"/>
    <col min="8196" max="8196" width="10.42578125" style="122" bestFit="1" customWidth="1"/>
    <col min="8197" max="8199" width="0" style="122" hidden="1" customWidth="1"/>
    <col min="8200" max="8200" width="7.85546875" style="122" bestFit="1" customWidth="1"/>
    <col min="8201" max="8201" width="8.7109375" style="122" customWidth="1"/>
    <col min="8202" max="8202" width="11.28515625" style="122" customWidth="1"/>
    <col min="8203" max="8448" width="9.140625" style="122"/>
    <col min="8449" max="8449" width="4.7109375" style="122" bestFit="1" customWidth="1"/>
    <col min="8450" max="8450" width="34.28515625" style="122" customWidth="1"/>
    <col min="8451" max="8451" width="7.5703125" style="122" bestFit="1" customWidth="1"/>
    <col min="8452" max="8452" width="10.42578125" style="122" bestFit="1" customWidth="1"/>
    <col min="8453" max="8455" width="0" style="122" hidden="1" customWidth="1"/>
    <col min="8456" max="8456" width="7.85546875" style="122" bestFit="1" customWidth="1"/>
    <col min="8457" max="8457" width="8.7109375" style="122" customWidth="1"/>
    <col min="8458" max="8458" width="11.28515625" style="122" customWidth="1"/>
    <col min="8459" max="8704" width="9.140625" style="122"/>
    <col min="8705" max="8705" width="4.7109375" style="122" bestFit="1" customWidth="1"/>
    <col min="8706" max="8706" width="34.28515625" style="122" customWidth="1"/>
    <col min="8707" max="8707" width="7.5703125" style="122" bestFit="1" customWidth="1"/>
    <col min="8708" max="8708" width="10.42578125" style="122" bestFit="1" customWidth="1"/>
    <col min="8709" max="8711" width="0" style="122" hidden="1" customWidth="1"/>
    <col min="8712" max="8712" width="7.85546875" style="122" bestFit="1" customWidth="1"/>
    <col min="8713" max="8713" width="8.7109375" style="122" customWidth="1"/>
    <col min="8714" max="8714" width="11.28515625" style="122" customWidth="1"/>
    <col min="8715" max="8960" width="9.140625" style="122"/>
    <col min="8961" max="8961" width="4.7109375" style="122" bestFit="1" customWidth="1"/>
    <col min="8962" max="8962" width="34.28515625" style="122" customWidth="1"/>
    <col min="8963" max="8963" width="7.5703125" style="122" bestFit="1" customWidth="1"/>
    <col min="8964" max="8964" width="10.42578125" style="122" bestFit="1" customWidth="1"/>
    <col min="8965" max="8967" width="0" style="122" hidden="1" customWidth="1"/>
    <col min="8968" max="8968" width="7.85546875" style="122" bestFit="1" customWidth="1"/>
    <col min="8969" max="8969" width="8.7109375" style="122" customWidth="1"/>
    <col min="8970" max="8970" width="11.28515625" style="122" customWidth="1"/>
    <col min="8971" max="9216" width="9.140625" style="122"/>
    <col min="9217" max="9217" width="4.7109375" style="122" bestFit="1" customWidth="1"/>
    <col min="9218" max="9218" width="34.28515625" style="122" customWidth="1"/>
    <col min="9219" max="9219" width="7.5703125" style="122" bestFit="1" customWidth="1"/>
    <col min="9220" max="9220" width="10.42578125" style="122" bestFit="1" customWidth="1"/>
    <col min="9221" max="9223" width="0" style="122" hidden="1" customWidth="1"/>
    <col min="9224" max="9224" width="7.85546875" style="122" bestFit="1" customWidth="1"/>
    <col min="9225" max="9225" width="8.7109375" style="122" customWidth="1"/>
    <col min="9226" max="9226" width="11.28515625" style="122" customWidth="1"/>
    <col min="9227" max="9472" width="9.140625" style="122"/>
    <col min="9473" max="9473" width="4.7109375" style="122" bestFit="1" customWidth="1"/>
    <col min="9474" max="9474" width="34.28515625" style="122" customWidth="1"/>
    <col min="9475" max="9475" width="7.5703125" style="122" bestFit="1" customWidth="1"/>
    <col min="9476" max="9476" width="10.42578125" style="122" bestFit="1" customWidth="1"/>
    <col min="9477" max="9479" width="0" style="122" hidden="1" customWidth="1"/>
    <col min="9480" max="9480" width="7.85546875" style="122" bestFit="1" customWidth="1"/>
    <col min="9481" max="9481" width="8.7109375" style="122" customWidth="1"/>
    <col min="9482" max="9482" width="11.28515625" style="122" customWidth="1"/>
    <col min="9483" max="9728" width="9.140625" style="122"/>
    <col min="9729" max="9729" width="4.7109375" style="122" bestFit="1" customWidth="1"/>
    <col min="9730" max="9730" width="34.28515625" style="122" customWidth="1"/>
    <col min="9731" max="9731" width="7.5703125" style="122" bestFit="1" customWidth="1"/>
    <col min="9732" max="9732" width="10.42578125" style="122" bestFit="1" customWidth="1"/>
    <col min="9733" max="9735" width="0" style="122" hidden="1" customWidth="1"/>
    <col min="9736" max="9736" width="7.85546875" style="122" bestFit="1" customWidth="1"/>
    <col min="9737" max="9737" width="8.7109375" style="122" customWidth="1"/>
    <col min="9738" max="9738" width="11.28515625" style="122" customWidth="1"/>
    <col min="9739" max="9984" width="9.140625" style="122"/>
    <col min="9985" max="9985" width="4.7109375" style="122" bestFit="1" customWidth="1"/>
    <col min="9986" max="9986" width="34.28515625" style="122" customWidth="1"/>
    <col min="9987" max="9987" width="7.5703125" style="122" bestFit="1" customWidth="1"/>
    <col min="9988" max="9988" width="10.42578125" style="122" bestFit="1" customWidth="1"/>
    <col min="9989" max="9991" width="0" style="122" hidden="1" customWidth="1"/>
    <col min="9992" max="9992" width="7.85546875" style="122" bestFit="1" customWidth="1"/>
    <col min="9993" max="9993" width="8.7109375" style="122" customWidth="1"/>
    <col min="9994" max="9994" width="11.28515625" style="122" customWidth="1"/>
    <col min="9995" max="10240" width="9.140625" style="122"/>
    <col min="10241" max="10241" width="4.7109375" style="122" bestFit="1" customWidth="1"/>
    <col min="10242" max="10242" width="34.28515625" style="122" customWidth="1"/>
    <col min="10243" max="10243" width="7.5703125" style="122" bestFit="1" customWidth="1"/>
    <col min="10244" max="10244" width="10.42578125" style="122" bestFit="1" customWidth="1"/>
    <col min="10245" max="10247" width="0" style="122" hidden="1" customWidth="1"/>
    <col min="10248" max="10248" width="7.85546875" style="122" bestFit="1" customWidth="1"/>
    <col min="10249" max="10249" width="8.7109375" style="122" customWidth="1"/>
    <col min="10250" max="10250" width="11.28515625" style="122" customWidth="1"/>
    <col min="10251" max="10496" width="9.140625" style="122"/>
    <col min="10497" max="10497" width="4.7109375" style="122" bestFit="1" customWidth="1"/>
    <col min="10498" max="10498" width="34.28515625" style="122" customWidth="1"/>
    <col min="10499" max="10499" width="7.5703125" style="122" bestFit="1" customWidth="1"/>
    <col min="10500" max="10500" width="10.42578125" style="122" bestFit="1" customWidth="1"/>
    <col min="10501" max="10503" width="0" style="122" hidden="1" customWidth="1"/>
    <col min="10504" max="10504" width="7.85546875" style="122" bestFit="1" customWidth="1"/>
    <col min="10505" max="10505" width="8.7109375" style="122" customWidth="1"/>
    <col min="10506" max="10506" width="11.28515625" style="122" customWidth="1"/>
    <col min="10507" max="10752" width="9.140625" style="122"/>
    <col min="10753" max="10753" width="4.7109375" style="122" bestFit="1" customWidth="1"/>
    <col min="10754" max="10754" width="34.28515625" style="122" customWidth="1"/>
    <col min="10755" max="10755" width="7.5703125" style="122" bestFit="1" customWidth="1"/>
    <col min="10756" max="10756" width="10.42578125" style="122" bestFit="1" customWidth="1"/>
    <col min="10757" max="10759" width="0" style="122" hidden="1" customWidth="1"/>
    <col min="10760" max="10760" width="7.85546875" style="122" bestFit="1" customWidth="1"/>
    <col min="10761" max="10761" width="8.7109375" style="122" customWidth="1"/>
    <col min="10762" max="10762" width="11.28515625" style="122" customWidth="1"/>
    <col min="10763" max="11008" width="9.140625" style="122"/>
    <col min="11009" max="11009" width="4.7109375" style="122" bestFit="1" customWidth="1"/>
    <col min="11010" max="11010" width="34.28515625" style="122" customWidth="1"/>
    <col min="11011" max="11011" width="7.5703125" style="122" bestFit="1" customWidth="1"/>
    <col min="11012" max="11012" width="10.42578125" style="122" bestFit="1" customWidth="1"/>
    <col min="11013" max="11015" width="0" style="122" hidden="1" customWidth="1"/>
    <col min="11016" max="11016" width="7.85546875" style="122" bestFit="1" customWidth="1"/>
    <col min="11017" max="11017" width="8.7109375" style="122" customWidth="1"/>
    <col min="11018" max="11018" width="11.28515625" style="122" customWidth="1"/>
    <col min="11019" max="11264" width="9.140625" style="122"/>
    <col min="11265" max="11265" width="4.7109375" style="122" bestFit="1" customWidth="1"/>
    <col min="11266" max="11266" width="34.28515625" style="122" customWidth="1"/>
    <col min="11267" max="11267" width="7.5703125" style="122" bestFit="1" customWidth="1"/>
    <col min="11268" max="11268" width="10.42578125" style="122" bestFit="1" customWidth="1"/>
    <col min="11269" max="11271" width="0" style="122" hidden="1" customWidth="1"/>
    <col min="11272" max="11272" width="7.85546875" style="122" bestFit="1" customWidth="1"/>
    <col min="11273" max="11273" width="8.7109375" style="122" customWidth="1"/>
    <col min="11274" max="11274" width="11.28515625" style="122" customWidth="1"/>
    <col min="11275" max="11520" width="9.140625" style="122"/>
    <col min="11521" max="11521" width="4.7109375" style="122" bestFit="1" customWidth="1"/>
    <col min="11522" max="11522" width="34.28515625" style="122" customWidth="1"/>
    <col min="11523" max="11523" width="7.5703125" style="122" bestFit="1" customWidth="1"/>
    <col min="11524" max="11524" width="10.42578125" style="122" bestFit="1" customWidth="1"/>
    <col min="11525" max="11527" width="0" style="122" hidden="1" customWidth="1"/>
    <col min="11528" max="11528" width="7.85546875" style="122" bestFit="1" customWidth="1"/>
    <col min="11529" max="11529" width="8.7109375" style="122" customWidth="1"/>
    <col min="11530" max="11530" width="11.28515625" style="122" customWidth="1"/>
    <col min="11531" max="11776" width="9.140625" style="122"/>
    <col min="11777" max="11777" width="4.7109375" style="122" bestFit="1" customWidth="1"/>
    <col min="11778" max="11778" width="34.28515625" style="122" customWidth="1"/>
    <col min="11779" max="11779" width="7.5703125" style="122" bestFit="1" customWidth="1"/>
    <col min="11780" max="11780" width="10.42578125" style="122" bestFit="1" customWidth="1"/>
    <col min="11781" max="11783" width="0" style="122" hidden="1" customWidth="1"/>
    <col min="11784" max="11784" width="7.85546875" style="122" bestFit="1" customWidth="1"/>
    <col min="11785" max="11785" width="8.7109375" style="122" customWidth="1"/>
    <col min="11786" max="11786" width="11.28515625" style="122" customWidth="1"/>
    <col min="11787" max="12032" width="9.140625" style="122"/>
    <col min="12033" max="12033" width="4.7109375" style="122" bestFit="1" customWidth="1"/>
    <col min="12034" max="12034" width="34.28515625" style="122" customWidth="1"/>
    <col min="12035" max="12035" width="7.5703125" style="122" bestFit="1" customWidth="1"/>
    <col min="12036" max="12036" width="10.42578125" style="122" bestFit="1" customWidth="1"/>
    <col min="12037" max="12039" width="0" style="122" hidden="1" customWidth="1"/>
    <col min="12040" max="12040" width="7.85546875" style="122" bestFit="1" customWidth="1"/>
    <col min="12041" max="12041" width="8.7109375" style="122" customWidth="1"/>
    <col min="12042" max="12042" width="11.28515625" style="122" customWidth="1"/>
    <col min="12043" max="12288" width="9.140625" style="122"/>
    <col min="12289" max="12289" width="4.7109375" style="122" bestFit="1" customWidth="1"/>
    <col min="12290" max="12290" width="34.28515625" style="122" customWidth="1"/>
    <col min="12291" max="12291" width="7.5703125" style="122" bestFit="1" customWidth="1"/>
    <col min="12292" max="12292" width="10.42578125" style="122" bestFit="1" customWidth="1"/>
    <col min="12293" max="12295" width="0" style="122" hidden="1" customWidth="1"/>
    <col min="12296" max="12296" width="7.85546875" style="122" bestFit="1" customWidth="1"/>
    <col min="12297" max="12297" width="8.7109375" style="122" customWidth="1"/>
    <col min="12298" max="12298" width="11.28515625" style="122" customWidth="1"/>
    <col min="12299" max="12544" width="9.140625" style="122"/>
    <col min="12545" max="12545" width="4.7109375" style="122" bestFit="1" customWidth="1"/>
    <col min="12546" max="12546" width="34.28515625" style="122" customWidth="1"/>
    <col min="12547" max="12547" width="7.5703125" style="122" bestFit="1" customWidth="1"/>
    <col min="12548" max="12548" width="10.42578125" style="122" bestFit="1" customWidth="1"/>
    <col min="12549" max="12551" width="0" style="122" hidden="1" customWidth="1"/>
    <col min="12552" max="12552" width="7.85546875" style="122" bestFit="1" customWidth="1"/>
    <col min="12553" max="12553" width="8.7109375" style="122" customWidth="1"/>
    <col min="12554" max="12554" width="11.28515625" style="122" customWidth="1"/>
    <col min="12555" max="12800" width="9.140625" style="122"/>
    <col min="12801" max="12801" width="4.7109375" style="122" bestFit="1" customWidth="1"/>
    <col min="12802" max="12802" width="34.28515625" style="122" customWidth="1"/>
    <col min="12803" max="12803" width="7.5703125" style="122" bestFit="1" customWidth="1"/>
    <col min="12804" max="12804" width="10.42578125" style="122" bestFit="1" customWidth="1"/>
    <col min="12805" max="12807" width="0" style="122" hidden="1" customWidth="1"/>
    <col min="12808" max="12808" width="7.85546875" style="122" bestFit="1" customWidth="1"/>
    <col min="12809" max="12809" width="8.7109375" style="122" customWidth="1"/>
    <col min="12810" max="12810" width="11.28515625" style="122" customWidth="1"/>
    <col min="12811" max="13056" width="9.140625" style="122"/>
    <col min="13057" max="13057" width="4.7109375" style="122" bestFit="1" customWidth="1"/>
    <col min="13058" max="13058" width="34.28515625" style="122" customWidth="1"/>
    <col min="13059" max="13059" width="7.5703125" style="122" bestFit="1" customWidth="1"/>
    <col min="13060" max="13060" width="10.42578125" style="122" bestFit="1" customWidth="1"/>
    <col min="13061" max="13063" width="0" style="122" hidden="1" customWidth="1"/>
    <col min="13064" max="13064" width="7.85546875" style="122" bestFit="1" customWidth="1"/>
    <col min="13065" max="13065" width="8.7109375" style="122" customWidth="1"/>
    <col min="13066" max="13066" width="11.28515625" style="122" customWidth="1"/>
    <col min="13067" max="13312" width="9.140625" style="122"/>
    <col min="13313" max="13313" width="4.7109375" style="122" bestFit="1" customWidth="1"/>
    <col min="13314" max="13314" width="34.28515625" style="122" customWidth="1"/>
    <col min="13315" max="13315" width="7.5703125" style="122" bestFit="1" customWidth="1"/>
    <col min="13316" max="13316" width="10.42578125" style="122" bestFit="1" customWidth="1"/>
    <col min="13317" max="13319" width="0" style="122" hidden="1" customWidth="1"/>
    <col min="13320" max="13320" width="7.85546875" style="122" bestFit="1" customWidth="1"/>
    <col min="13321" max="13321" width="8.7109375" style="122" customWidth="1"/>
    <col min="13322" max="13322" width="11.28515625" style="122" customWidth="1"/>
    <col min="13323" max="13568" width="9.140625" style="122"/>
    <col min="13569" max="13569" width="4.7109375" style="122" bestFit="1" customWidth="1"/>
    <col min="13570" max="13570" width="34.28515625" style="122" customWidth="1"/>
    <col min="13571" max="13571" width="7.5703125" style="122" bestFit="1" customWidth="1"/>
    <col min="13572" max="13572" width="10.42578125" style="122" bestFit="1" customWidth="1"/>
    <col min="13573" max="13575" width="0" style="122" hidden="1" customWidth="1"/>
    <col min="13576" max="13576" width="7.85546875" style="122" bestFit="1" customWidth="1"/>
    <col min="13577" max="13577" width="8.7109375" style="122" customWidth="1"/>
    <col min="13578" max="13578" width="11.28515625" style="122" customWidth="1"/>
    <col min="13579" max="13824" width="9.140625" style="122"/>
    <col min="13825" max="13825" width="4.7109375" style="122" bestFit="1" customWidth="1"/>
    <col min="13826" max="13826" width="34.28515625" style="122" customWidth="1"/>
    <col min="13827" max="13827" width="7.5703125" style="122" bestFit="1" customWidth="1"/>
    <col min="13828" max="13828" width="10.42578125" style="122" bestFit="1" customWidth="1"/>
    <col min="13829" max="13831" width="0" style="122" hidden="1" customWidth="1"/>
    <col min="13832" max="13832" width="7.85546875" style="122" bestFit="1" customWidth="1"/>
    <col min="13833" max="13833" width="8.7109375" style="122" customWidth="1"/>
    <col min="13834" max="13834" width="11.28515625" style="122" customWidth="1"/>
    <col min="13835" max="14080" width="9.140625" style="122"/>
    <col min="14081" max="14081" width="4.7109375" style="122" bestFit="1" customWidth="1"/>
    <col min="14082" max="14082" width="34.28515625" style="122" customWidth="1"/>
    <col min="14083" max="14083" width="7.5703125" style="122" bestFit="1" customWidth="1"/>
    <col min="14084" max="14084" width="10.42578125" style="122" bestFit="1" customWidth="1"/>
    <col min="14085" max="14087" width="0" style="122" hidden="1" customWidth="1"/>
    <col min="14088" max="14088" width="7.85546875" style="122" bestFit="1" customWidth="1"/>
    <col min="14089" max="14089" width="8.7109375" style="122" customWidth="1"/>
    <col min="14090" max="14090" width="11.28515625" style="122" customWidth="1"/>
    <col min="14091" max="14336" width="9.140625" style="122"/>
    <col min="14337" max="14337" width="4.7109375" style="122" bestFit="1" customWidth="1"/>
    <col min="14338" max="14338" width="34.28515625" style="122" customWidth="1"/>
    <col min="14339" max="14339" width="7.5703125" style="122" bestFit="1" customWidth="1"/>
    <col min="14340" max="14340" width="10.42578125" style="122" bestFit="1" customWidth="1"/>
    <col min="14341" max="14343" width="0" style="122" hidden="1" customWidth="1"/>
    <col min="14344" max="14344" width="7.85546875" style="122" bestFit="1" customWidth="1"/>
    <col min="14345" max="14345" width="8.7109375" style="122" customWidth="1"/>
    <col min="14346" max="14346" width="11.28515625" style="122" customWidth="1"/>
    <col min="14347" max="14592" width="9.140625" style="122"/>
    <col min="14593" max="14593" width="4.7109375" style="122" bestFit="1" customWidth="1"/>
    <col min="14594" max="14594" width="34.28515625" style="122" customWidth="1"/>
    <col min="14595" max="14595" width="7.5703125" style="122" bestFit="1" customWidth="1"/>
    <col min="14596" max="14596" width="10.42578125" style="122" bestFit="1" customWidth="1"/>
    <col min="14597" max="14599" width="0" style="122" hidden="1" customWidth="1"/>
    <col min="14600" max="14600" width="7.85546875" style="122" bestFit="1" customWidth="1"/>
    <col min="14601" max="14601" width="8.7109375" style="122" customWidth="1"/>
    <col min="14602" max="14602" width="11.28515625" style="122" customWidth="1"/>
    <col min="14603" max="14848" width="9.140625" style="122"/>
    <col min="14849" max="14849" width="4.7109375" style="122" bestFit="1" customWidth="1"/>
    <col min="14850" max="14850" width="34.28515625" style="122" customWidth="1"/>
    <col min="14851" max="14851" width="7.5703125" style="122" bestFit="1" customWidth="1"/>
    <col min="14852" max="14852" width="10.42578125" style="122" bestFit="1" customWidth="1"/>
    <col min="14853" max="14855" width="0" style="122" hidden="1" customWidth="1"/>
    <col min="14856" max="14856" width="7.85546875" style="122" bestFit="1" customWidth="1"/>
    <col min="14857" max="14857" width="8.7109375" style="122" customWidth="1"/>
    <col min="14858" max="14858" width="11.28515625" style="122" customWidth="1"/>
    <col min="14859" max="15104" width="9.140625" style="122"/>
    <col min="15105" max="15105" width="4.7109375" style="122" bestFit="1" customWidth="1"/>
    <col min="15106" max="15106" width="34.28515625" style="122" customWidth="1"/>
    <col min="15107" max="15107" width="7.5703125" style="122" bestFit="1" customWidth="1"/>
    <col min="15108" max="15108" width="10.42578125" style="122" bestFit="1" customWidth="1"/>
    <col min="15109" max="15111" width="0" style="122" hidden="1" customWidth="1"/>
    <col min="15112" max="15112" width="7.85546875" style="122" bestFit="1" customWidth="1"/>
    <col min="15113" max="15113" width="8.7109375" style="122" customWidth="1"/>
    <col min="15114" max="15114" width="11.28515625" style="122" customWidth="1"/>
    <col min="15115" max="15360" width="9.140625" style="122"/>
    <col min="15361" max="15361" width="4.7109375" style="122" bestFit="1" customWidth="1"/>
    <col min="15362" max="15362" width="34.28515625" style="122" customWidth="1"/>
    <col min="15363" max="15363" width="7.5703125" style="122" bestFit="1" customWidth="1"/>
    <col min="15364" max="15364" width="10.42578125" style="122" bestFit="1" customWidth="1"/>
    <col min="15365" max="15367" width="0" style="122" hidden="1" customWidth="1"/>
    <col min="15368" max="15368" width="7.85546875" style="122" bestFit="1" customWidth="1"/>
    <col min="15369" max="15369" width="8.7109375" style="122" customWidth="1"/>
    <col min="15370" max="15370" width="11.28515625" style="122" customWidth="1"/>
    <col min="15371" max="15616" width="9.140625" style="122"/>
    <col min="15617" max="15617" width="4.7109375" style="122" bestFit="1" customWidth="1"/>
    <col min="15618" max="15618" width="34.28515625" style="122" customWidth="1"/>
    <col min="15619" max="15619" width="7.5703125" style="122" bestFit="1" customWidth="1"/>
    <col min="15620" max="15620" width="10.42578125" style="122" bestFit="1" customWidth="1"/>
    <col min="15621" max="15623" width="0" style="122" hidden="1" customWidth="1"/>
    <col min="15624" max="15624" width="7.85546875" style="122" bestFit="1" customWidth="1"/>
    <col min="15625" max="15625" width="8.7109375" style="122" customWidth="1"/>
    <col min="15626" max="15626" width="11.28515625" style="122" customWidth="1"/>
    <col min="15627" max="15872" width="9.140625" style="122"/>
    <col min="15873" max="15873" width="4.7109375" style="122" bestFit="1" customWidth="1"/>
    <col min="15874" max="15874" width="34.28515625" style="122" customWidth="1"/>
    <col min="15875" max="15875" width="7.5703125" style="122" bestFit="1" customWidth="1"/>
    <col min="15876" max="15876" width="10.42578125" style="122" bestFit="1" customWidth="1"/>
    <col min="15877" max="15879" width="0" style="122" hidden="1" customWidth="1"/>
    <col min="15880" max="15880" width="7.85546875" style="122" bestFit="1" customWidth="1"/>
    <col min="15881" max="15881" width="8.7109375" style="122" customWidth="1"/>
    <col min="15882" max="15882" width="11.28515625" style="122" customWidth="1"/>
    <col min="15883" max="16128" width="9.140625" style="122"/>
    <col min="16129" max="16129" width="4.7109375" style="122" bestFit="1" customWidth="1"/>
    <col min="16130" max="16130" width="34.28515625" style="122" customWidth="1"/>
    <col min="16131" max="16131" width="7.5703125" style="122" bestFit="1" customWidth="1"/>
    <col min="16132" max="16132" width="10.42578125" style="122" bestFit="1" customWidth="1"/>
    <col min="16133" max="16135" width="0" style="122" hidden="1" customWidth="1"/>
    <col min="16136" max="16136" width="7.85546875" style="122" bestFit="1" customWidth="1"/>
    <col min="16137" max="16137" width="8.7109375" style="122" customWidth="1"/>
    <col min="16138" max="16138" width="11.28515625" style="122" customWidth="1"/>
    <col min="16139" max="16384" width="9.140625" style="122"/>
  </cols>
  <sheetData>
    <row r="1" spans="1:9" ht="15" x14ac:dyDescent="0.2">
      <c r="A1" s="406" t="s">
        <v>309</v>
      </c>
      <c r="B1" s="406"/>
      <c r="C1" s="406"/>
      <c r="D1" s="406"/>
      <c r="E1" s="406"/>
      <c r="F1" s="406"/>
      <c r="G1" s="406"/>
      <c r="H1" s="406"/>
      <c r="I1" s="406"/>
    </row>
    <row r="2" spans="1:9" x14ac:dyDescent="0.2">
      <c r="A2" s="143"/>
      <c r="B2" s="144"/>
      <c r="C2" s="143"/>
      <c r="D2" s="143"/>
      <c r="E2" s="143"/>
      <c r="F2" s="143"/>
      <c r="G2" s="143"/>
      <c r="H2" s="143"/>
      <c r="I2" s="143"/>
    </row>
    <row r="3" spans="1:9" ht="20.25" customHeight="1" x14ac:dyDescent="0.2">
      <c r="A3" s="407" t="s">
        <v>310</v>
      </c>
      <c r="B3" s="407"/>
      <c r="C3" s="407"/>
      <c r="D3" s="407"/>
      <c r="E3" s="407"/>
      <c r="F3" s="407"/>
      <c r="G3" s="407"/>
      <c r="H3" s="407"/>
      <c r="I3" s="407"/>
    </row>
    <row r="4" spans="1:9" s="124" customFormat="1" ht="22.5" customHeight="1" x14ac:dyDescent="0.2">
      <c r="A4" s="123" t="s">
        <v>91</v>
      </c>
      <c r="B4" s="123" t="s">
        <v>233</v>
      </c>
      <c r="C4" s="123" t="s">
        <v>234</v>
      </c>
      <c r="D4" s="123" t="s">
        <v>235</v>
      </c>
      <c r="E4" s="123" t="s">
        <v>176</v>
      </c>
      <c r="F4" s="123" t="s">
        <v>236</v>
      </c>
      <c r="H4" s="123" t="s">
        <v>176</v>
      </c>
      <c r="I4" s="123" t="s">
        <v>236</v>
      </c>
    </row>
    <row r="5" spans="1:9" ht="92.25" customHeight="1" x14ac:dyDescent="0.2">
      <c r="A5" s="125">
        <v>7</v>
      </c>
      <c r="B5" s="145" t="s">
        <v>311</v>
      </c>
      <c r="C5" s="125" t="s">
        <v>312</v>
      </c>
      <c r="D5" s="125">
        <v>1</v>
      </c>
      <c r="E5" s="126"/>
      <c r="F5" s="126"/>
      <c r="G5" s="126"/>
      <c r="H5" s="126">
        <v>50</v>
      </c>
      <c r="I5" s="126">
        <f t="shared" ref="I5:I13" si="0">D5*H5/60</f>
        <v>0.83333333333333337</v>
      </c>
    </row>
    <row r="6" spans="1:9" ht="24.95" customHeight="1" x14ac:dyDescent="0.2">
      <c r="A6" s="125">
        <v>8</v>
      </c>
      <c r="B6" s="146" t="s">
        <v>313</v>
      </c>
      <c r="C6" s="125" t="s">
        <v>312</v>
      </c>
      <c r="D6" s="125">
        <v>1</v>
      </c>
      <c r="E6" s="126"/>
      <c r="F6" s="126"/>
      <c r="G6" s="126"/>
      <c r="H6" s="126">
        <v>100</v>
      </c>
      <c r="I6" s="126">
        <f t="shared" si="0"/>
        <v>1.6666666666666667</v>
      </c>
    </row>
    <row r="7" spans="1:9" ht="24.95" customHeight="1" x14ac:dyDescent="0.2">
      <c r="A7" s="125">
        <v>9</v>
      </c>
      <c r="B7" s="145" t="s">
        <v>314</v>
      </c>
      <c r="C7" s="125" t="s">
        <v>296</v>
      </c>
      <c r="D7" s="125">
        <v>1</v>
      </c>
      <c r="E7" s="126"/>
      <c r="F7" s="126"/>
      <c r="G7" s="126"/>
      <c r="H7" s="126">
        <v>40</v>
      </c>
      <c r="I7" s="126">
        <f t="shared" si="0"/>
        <v>0.66666666666666663</v>
      </c>
    </row>
    <row r="8" spans="1:9" ht="24.95" customHeight="1" x14ac:dyDescent="0.2">
      <c r="A8" s="125">
        <v>10</v>
      </c>
      <c r="B8" s="146" t="s">
        <v>315</v>
      </c>
      <c r="C8" s="125" t="s">
        <v>238</v>
      </c>
      <c r="D8" s="125">
        <v>1</v>
      </c>
      <c r="E8" s="126">
        <v>75</v>
      </c>
      <c r="F8" s="126">
        <v>89</v>
      </c>
      <c r="G8" s="126">
        <v>80</v>
      </c>
      <c r="H8" s="126">
        <v>20</v>
      </c>
      <c r="I8" s="126">
        <f t="shared" si="0"/>
        <v>0.33333333333333331</v>
      </c>
    </row>
    <row r="9" spans="1:9" ht="63" x14ac:dyDescent="0.2">
      <c r="A9" s="125">
        <v>11</v>
      </c>
      <c r="B9" s="145" t="s">
        <v>316</v>
      </c>
      <c r="C9" s="125" t="s">
        <v>238</v>
      </c>
      <c r="D9" s="125">
        <v>2</v>
      </c>
      <c r="E9" s="126">
        <f>410.4/100</f>
        <v>4.1040000000000001</v>
      </c>
      <c r="F9" s="126">
        <f>143.9/50</f>
        <v>2.8780000000000001</v>
      </c>
      <c r="G9" s="126">
        <v>4.46</v>
      </c>
      <c r="H9" s="126">
        <v>20</v>
      </c>
      <c r="I9" s="126">
        <f t="shared" si="0"/>
        <v>0.66666666666666663</v>
      </c>
    </row>
    <row r="10" spans="1:9" ht="39" customHeight="1" x14ac:dyDescent="0.2">
      <c r="A10" s="125">
        <v>12</v>
      </c>
      <c r="B10" s="147" t="s">
        <v>317</v>
      </c>
      <c r="C10" s="125" t="s">
        <v>312</v>
      </c>
      <c r="D10" s="125">
        <v>2</v>
      </c>
      <c r="E10" s="126"/>
      <c r="F10" s="126"/>
      <c r="G10" s="126"/>
      <c r="H10" s="126">
        <v>10</v>
      </c>
      <c r="I10" s="126">
        <f t="shared" si="0"/>
        <v>0.33333333333333331</v>
      </c>
    </row>
    <row r="11" spans="1:9" ht="79.5" customHeight="1" x14ac:dyDescent="0.2">
      <c r="A11" s="125">
        <v>13</v>
      </c>
      <c r="B11" s="147" t="s">
        <v>318</v>
      </c>
      <c r="C11" s="125" t="s">
        <v>296</v>
      </c>
      <c r="D11" s="125">
        <v>1</v>
      </c>
      <c r="E11" s="126"/>
      <c r="F11" s="126"/>
      <c r="G11" s="126"/>
      <c r="H11" s="126">
        <v>75</v>
      </c>
      <c r="I11" s="126">
        <f t="shared" si="0"/>
        <v>1.25</v>
      </c>
    </row>
    <row r="12" spans="1:9" ht="24.95" customHeight="1" x14ac:dyDescent="0.2">
      <c r="A12" s="125">
        <v>14</v>
      </c>
      <c r="B12" s="146" t="s">
        <v>319</v>
      </c>
      <c r="C12" s="125" t="s">
        <v>238</v>
      </c>
      <c r="D12" s="125">
        <v>1</v>
      </c>
      <c r="E12" s="126">
        <v>75</v>
      </c>
      <c r="F12" s="126">
        <v>89</v>
      </c>
      <c r="G12" s="126">
        <v>80</v>
      </c>
      <c r="H12" s="126">
        <v>75</v>
      </c>
      <c r="I12" s="126">
        <f t="shared" si="0"/>
        <v>1.25</v>
      </c>
    </row>
    <row r="13" spans="1:9" ht="115.5" x14ac:dyDescent="0.2">
      <c r="A13" s="125">
        <v>15</v>
      </c>
      <c r="B13" s="147" t="s">
        <v>320</v>
      </c>
      <c r="C13" s="125" t="s">
        <v>238</v>
      </c>
      <c r="D13" s="125">
        <v>1</v>
      </c>
      <c r="E13" s="126">
        <f>410.4/100</f>
        <v>4.1040000000000001</v>
      </c>
      <c r="F13" s="126">
        <f>143.9/50</f>
        <v>2.8780000000000001</v>
      </c>
      <c r="G13" s="126">
        <v>4.46</v>
      </c>
      <c r="H13" s="126">
        <v>30</v>
      </c>
      <c r="I13" s="126">
        <f t="shared" si="0"/>
        <v>0.5</v>
      </c>
    </row>
    <row r="14" spans="1:9" ht="19.5" customHeight="1" x14ac:dyDescent="0.2">
      <c r="A14" s="407" t="s">
        <v>321</v>
      </c>
      <c r="B14" s="407"/>
      <c r="C14" s="407"/>
      <c r="D14" s="407"/>
      <c r="E14" s="407"/>
      <c r="F14" s="407"/>
      <c r="G14" s="407"/>
      <c r="H14" s="407"/>
      <c r="I14" s="127">
        <f>SUM(I5:I13)</f>
        <v>7.5</v>
      </c>
    </row>
    <row r="15" spans="1:9" ht="21" customHeight="1" x14ac:dyDescent="0.2">
      <c r="A15" s="407" t="s">
        <v>322</v>
      </c>
      <c r="B15" s="407"/>
      <c r="C15" s="407"/>
      <c r="D15" s="407"/>
      <c r="E15" s="407"/>
      <c r="F15" s="407"/>
      <c r="G15" s="407"/>
      <c r="H15" s="407"/>
      <c r="I15" s="127">
        <f>I14</f>
        <v>7.5</v>
      </c>
    </row>
  </sheetData>
  <sheetProtection selectLockedCells="1" selectUnlockedCells="1"/>
  <mergeCells count="4">
    <mergeCell ref="A1:I1"/>
    <mergeCell ref="A3:I3"/>
    <mergeCell ref="A14:H14"/>
    <mergeCell ref="A15:H15"/>
  </mergeCells>
  <pageMargins left="0.70866141732283472" right="0.74803149606299213" top="0.98425196850393704" bottom="0.98425196850393704" header="0.51181102362204722" footer="0.51181102362204722"/>
  <pageSetup paperSize="9" scale="110" firstPageNumber="0" orientation="portrait" horizontalDpi="300" verticalDpi="300" r:id="rId1"/>
  <headerFooter alignWithMargins="0">
    <oddHeader>&amp;L&amp;"Times New Roman,Negrito"&amp;8MPS MINISTÉRIO DA PREVIDÊNCIA SOCIAL
INSS - Instituto Nacional do Seguro Social
CGEPI Divisão de Manutenção e Engenharia de Avaliação</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36"/>
  <sheetViews>
    <sheetView topLeftCell="A28" zoomScaleNormal="100" zoomScaleSheetLayoutView="130" workbookViewId="0">
      <selection activeCell="F36" sqref="F36"/>
    </sheetView>
  </sheetViews>
  <sheetFormatPr defaultRowHeight="12.75" x14ac:dyDescent="0.2"/>
  <cols>
    <col min="1" max="1" width="4.7109375" style="122" bestFit="1" customWidth="1"/>
    <col min="2" max="2" width="44.140625" style="124" customWidth="1"/>
    <col min="3" max="3" width="7.5703125" style="122" bestFit="1" customWidth="1"/>
    <col min="4" max="4" width="9.85546875" style="122" customWidth="1"/>
    <col min="5" max="5" width="8.140625" style="122" bestFit="1" customWidth="1"/>
    <col min="6" max="6" width="7.28515625" style="122" bestFit="1" customWidth="1"/>
    <col min="7" max="7" width="11.28515625" style="122" customWidth="1"/>
    <col min="8" max="256" width="9.140625" style="122"/>
    <col min="257" max="257" width="4.7109375" style="122" bestFit="1" customWidth="1"/>
    <col min="258" max="258" width="44.140625" style="122" customWidth="1"/>
    <col min="259" max="259" width="7.5703125" style="122" bestFit="1" customWidth="1"/>
    <col min="260" max="260" width="9.85546875" style="122" customWidth="1"/>
    <col min="261" max="261" width="8.140625" style="122" bestFit="1" customWidth="1"/>
    <col min="262" max="262" width="7.28515625" style="122" bestFit="1" customWidth="1"/>
    <col min="263" max="263" width="11.28515625" style="122" customWidth="1"/>
    <col min="264" max="512" width="9.140625" style="122"/>
    <col min="513" max="513" width="4.7109375" style="122" bestFit="1" customWidth="1"/>
    <col min="514" max="514" width="44.140625" style="122" customWidth="1"/>
    <col min="515" max="515" width="7.5703125" style="122" bestFit="1" customWidth="1"/>
    <col min="516" max="516" width="9.85546875" style="122" customWidth="1"/>
    <col min="517" max="517" width="8.140625" style="122" bestFit="1" customWidth="1"/>
    <col min="518" max="518" width="7.28515625" style="122" bestFit="1" customWidth="1"/>
    <col min="519" max="519" width="11.28515625" style="122" customWidth="1"/>
    <col min="520" max="768" width="9.140625" style="122"/>
    <col min="769" max="769" width="4.7109375" style="122" bestFit="1" customWidth="1"/>
    <col min="770" max="770" width="44.140625" style="122" customWidth="1"/>
    <col min="771" max="771" width="7.5703125" style="122" bestFit="1" customWidth="1"/>
    <col min="772" max="772" width="9.85546875" style="122" customWidth="1"/>
    <col min="773" max="773" width="8.140625" style="122" bestFit="1" customWidth="1"/>
    <col min="774" max="774" width="7.28515625" style="122" bestFit="1" customWidth="1"/>
    <col min="775" max="775" width="11.28515625" style="122" customWidth="1"/>
    <col min="776" max="1024" width="9.140625" style="122"/>
    <col min="1025" max="1025" width="4.7109375" style="122" bestFit="1" customWidth="1"/>
    <col min="1026" max="1026" width="44.140625" style="122" customWidth="1"/>
    <col min="1027" max="1027" width="7.5703125" style="122" bestFit="1" customWidth="1"/>
    <col min="1028" max="1028" width="9.85546875" style="122" customWidth="1"/>
    <col min="1029" max="1029" width="8.140625" style="122" bestFit="1" customWidth="1"/>
    <col min="1030" max="1030" width="7.28515625" style="122" bestFit="1" customWidth="1"/>
    <col min="1031" max="1031" width="11.28515625" style="122" customWidth="1"/>
    <col min="1032" max="1280" width="9.140625" style="122"/>
    <col min="1281" max="1281" width="4.7109375" style="122" bestFit="1" customWidth="1"/>
    <col min="1282" max="1282" width="44.140625" style="122" customWidth="1"/>
    <col min="1283" max="1283" width="7.5703125" style="122" bestFit="1" customWidth="1"/>
    <col min="1284" max="1284" width="9.85546875" style="122" customWidth="1"/>
    <col min="1285" max="1285" width="8.140625" style="122" bestFit="1" customWidth="1"/>
    <col min="1286" max="1286" width="7.28515625" style="122" bestFit="1" customWidth="1"/>
    <col min="1287" max="1287" width="11.28515625" style="122" customWidth="1"/>
    <col min="1288" max="1536" width="9.140625" style="122"/>
    <col min="1537" max="1537" width="4.7109375" style="122" bestFit="1" customWidth="1"/>
    <col min="1538" max="1538" width="44.140625" style="122" customWidth="1"/>
    <col min="1539" max="1539" width="7.5703125" style="122" bestFit="1" customWidth="1"/>
    <col min="1540" max="1540" width="9.85546875" style="122" customWidth="1"/>
    <col min="1541" max="1541" width="8.140625" style="122" bestFit="1" customWidth="1"/>
    <col min="1542" max="1542" width="7.28515625" style="122" bestFit="1" customWidth="1"/>
    <col min="1543" max="1543" width="11.28515625" style="122" customWidth="1"/>
    <col min="1544" max="1792" width="9.140625" style="122"/>
    <col min="1793" max="1793" width="4.7109375" style="122" bestFit="1" customWidth="1"/>
    <col min="1794" max="1794" width="44.140625" style="122" customWidth="1"/>
    <col min="1795" max="1795" width="7.5703125" style="122" bestFit="1" customWidth="1"/>
    <col min="1796" max="1796" width="9.85546875" style="122" customWidth="1"/>
    <col min="1797" max="1797" width="8.140625" style="122" bestFit="1" customWidth="1"/>
    <col min="1798" max="1798" width="7.28515625" style="122" bestFit="1" customWidth="1"/>
    <col min="1799" max="1799" width="11.28515625" style="122" customWidth="1"/>
    <col min="1800" max="2048" width="9.140625" style="122"/>
    <col min="2049" max="2049" width="4.7109375" style="122" bestFit="1" customWidth="1"/>
    <col min="2050" max="2050" width="44.140625" style="122" customWidth="1"/>
    <col min="2051" max="2051" width="7.5703125" style="122" bestFit="1" customWidth="1"/>
    <col min="2052" max="2052" width="9.85546875" style="122" customWidth="1"/>
    <col min="2053" max="2053" width="8.140625" style="122" bestFit="1" customWidth="1"/>
    <col min="2054" max="2054" width="7.28515625" style="122" bestFit="1" customWidth="1"/>
    <col min="2055" max="2055" width="11.28515625" style="122" customWidth="1"/>
    <col min="2056" max="2304" width="9.140625" style="122"/>
    <col min="2305" max="2305" width="4.7109375" style="122" bestFit="1" customWidth="1"/>
    <col min="2306" max="2306" width="44.140625" style="122" customWidth="1"/>
    <col min="2307" max="2307" width="7.5703125" style="122" bestFit="1" customWidth="1"/>
    <col min="2308" max="2308" width="9.85546875" style="122" customWidth="1"/>
    <col min="2309" max="2309" width="8.140625" style="122" bestFit="1" customWidth="1"/>
    <col min="2310" max="2310" width="7.28515625" style="122" bestFit="1" customWidth="1"/>
    <col min="2311" max="2311" width="11.28515625" style="122" customWidth="1"/>
    <col min="2312" max="2560" width="9.140625" style="122"/>
    <col min="2561" max="2561" width="4.7109375" style="122" bestFit="1" customWidth="1"/>
    <col min="2562" max="2562" width="44.140625" style="122" customWidth="1"/>
    <col min="2563" max="2563" width="7.5703125" style="122" bestFit="1" customWidth="1"/>
    <col min="2564" max="2564" width="9.85546875" style="122" customWidth="1"/>
    <col min="2565" max="2565" width="8.140625" style="122" bestFit="1" customWidth="1"/>
    <col min="2566" max="2566" width="7.28515625" style="122" bestFit="1" customWidth="1"/>
    <col min="2567" max="2567" width="11.28515625" style="122" customWidth="1"/>
    <col min="2568" max="2816" width="9.140625" style="122"/>
    <col min="2817" max="2817" width="4.7109375" style="122" bestFit="1" customWidth="1"/>
    <col min="2818" max="2818" width="44.140625" style="122" customWidth="1"/>
    <col min="2819" max="2819" width="7.5703125" style="122" bestFit="1" customWidth="1"/>
    <col min="2820" max="2820" width="9.85546875" style="122" customWidth="1"/>
    <col min="2821" max="2821" width="8.140625" style="122" bestFit="1" customWidth="1"/>
    <col min="2822" max="2822" width="7.28515625" style="122" bestFit="1" customWidth="1"/>
    <col min="2823" max="2823" width="11.28515625" style="122" customWidth="1"/>
    <col min="2824" max="3072" width="9.140625" style="122"/>
    <col min="3073" max="3073" width="4.7109375" style="122" bestFit="1" customWidth="1"/>
    <col min="3074" max="3074" width="44.140625" style="122" customWidth="1"/>
    <col min="3075" max="3075" width="7.5703125" style="122" bestFit="1" customWidth="1"/>
    <col min="3076" max="3076" width="9.85546875" style="122" customWidth="1"/>
    <col min="3077" max="3077" width="8.140625" style="122" bestFit="1" customWidth="1"/>
    <col min="3078" max="3078" width="7.28515625" style="122" bestFit="1" customWidth="1"/>
    <col min="3079" max="3079" width="11.28515625" style="122" customWidth="1"/>
    <col min="3080" max="3328" width="9.140625" style="122"/>
    <col min="3329" max="3329" width="4.7109375" style="122" bestFit="1" customWidth="1"/>
    <col min="3330" max="3330" width="44.140625" style="122" customWidth="1"/>
    <col min="3331" max="3331" width="7.5703125" style="122" bestFit="1" customWidth="1"/>
    <col min="3332" max="3332" width="9.85546875" style="122" customWidth="1"/>
    <col min="3333" max="3333" width="8.140625" style="122" bestFit="1" customWidth="1"/>
    <col min="3334" max="3334" width="7.28515625" style="122" bestFit="1" customWidth="1"/>
    <col min="3335" max="3335" width="11.28515625" style="122" customWidth="1"/>
    <col min="3336" max="3584" width="9.140625" style="122"/>
    <col min="3585" max="3585" width="4.7109375" style="122" bestFit="1" customWidth="1"/>
    <col min="3586" max="3586" width="44.140625" style="122" customWidth="1"/>
    <col min="3587" max="3587" width="7.5703125" style="122" bestFit="1" customWidth="1"/>
    <col min="3588" max="3588" width="9.85546875" style="122" customWidth="1"/>
    <col min="3589" max="3589" width="8.140625" style="122" bestFit="1" customWidth="1"/>
    <col min="3590" max="3590" width="7.28515625" style="122" bestFit="1" customWidth="1"/>
    <col min="3591" max="3591" width="11.28515625" style="122" customWidth="1"/>
    <col min="3592" max="3840" width="9.140625" style="122"/>
    <col min="3841" max="3841" width="4.7109375" style="122" bestFit="1" customWidth="1"/>
    <col min="3842" max="3842" width="44.140625" style="122" customWidth="1"/>
    <col min="3843" max="3843" width="7.5703125" style="122" bestFit="1" customWidth="1"/>
    <col min="3844" max="3844" width="9.85546875" style="122" customWidth="1"/>
    <col min="3845" max="3845" width="8.140625" style="122" bestFit="1" customWidth="1"/>
    <col min="3846" max="3846" width="7.28515625" style="122" bestFit="1" customWidth="1"/>
    <col min="3847" max="3847" width="11.28515625" style="122" customWidth="1"/>
    <col min="3848" max="4096" width="9.140625" style="122"/>
    <col min="4097" max="4097" width="4.7109375" style="122" bestFit="1" customWidth="1"/>
    <col min="4098" max="4098" width="44.140625" style="122" customWidth="1"/>
    <col min="4099" max="4099" width="7.5703125" style="122" bestFit="1" customWidth="1"/>
    <col min="4100" max="4100" width="9.85546875" style="122" customWidth="1"/>
    <col min="4101" max="4101" width="8.140625" style="122" bestFit="1" customWidth="1"/>
    <col min="4102" max="4102" width="7.28515625" style="122" bestFit="1" customWidth="1"/>
    <col min="4103" max="4103" width="11.28515625" style="122" customWidth="1"/>
    <col min="4104" max="4352" width="9.140625" style="122"/>
    <col min="4353" max="4353" width="4.7109375" style="122" bestFit="1" customWidth="1"/>
    <col min="4354" max="4354" width="44.140625" style="122" customWidth="1"/>
    <col min="4355" max="4355" width="7.5703125" style="122" bestFit="1" customWidth="1"/>
    <col min="4356" max="4356" width="9.85546875" style="122" customWidth="1"/>
    <col min="4357" max="4357" width="8.140625" style="122" bestFit="1" customWidth="1"/>
    <col min="4358" max="4358" width="7.28515625" style="122" bestFit="1" customWidth="1"/>
    <col min="4359" max="4359" width="11.28515625" style="122" customWidth="1"/>
    <col min="4360" max="4608" width="9.140625" style="122"/>
    <col min="4609" max="4609" width="4.7109375" style="122" bestFit="1" customWidth="1"/>
    <col min="4610" max="4610" width="44.140625" style="122" customWidth="1"/>
    <col min="4611" max="4611" width="7.5703125" style="122" bestFit="1" customWidth="1"/>
    <col min="4612" max="4612" width="9.85546875" style="122" customWidth="1"/>
    <col min="4613" max="4613" width="8.140625" style="122" bestFit="1" customWidth="1"/>
    <col min="4614" max="4614" width="7.28515625" style="122" bestFit="1" customWidth="1"/>
    <col min="4615" max="4615" width="11.28515625" style="122" customWidth="1"/>
    <col min="4616" max="4864" width="9.140625" style="122"/>
    <col min="4865" max="4865" width="4.7109375" style="122" bestFit="1" customWidth="1"/>
    <col min="4866" max="4866" width="44.140625" style="122" customWidth="1"/>
    <col min="4867" max="4867" width="7.5703125" style="122" bestFit="1" customWidth="1"/>
    <col min="4868" max="4868" width="9.85546875" style="122" customWidth="1"/>
    <col min="4869" max="4869" width="8.140625" style="122" bestFit="1" customWidth="1"/>
    <col min="4870" max="4870" width="7.28515625" style="122" bestFit="1" customWidth="1"/>
    <col min="4871" max="4871" width="11.28515625" style="122" customWidth="1"/>
    <col min="4872" max="5120" width="9.140625" style="122"/>
    <col min="5121" max="5121" width="4.7109375" style="122" bestFit="1" customWidth="1"/>
    <col min="5122" max="5122" width="44.140625" style="122" customWidth="1"/>
    <col min="5123" max="5123" width="7.5703125" style="122" bestFit="1" customWidth="1"/>
    <col min="5124" max="5124" width="9.85546875" style="122" customWidth="1"/>
    <col min="5125" max="5125" width="8.140625" style="122" bestFit="1" customWidth="1"/>
    <col min="5126" max="5126" width="7.28515625" style="122" bestFit="1" customWidth="1"/>
    <col min="5127" max="5127" width="11.28515625" style="122" customWidth="1"/>
    <col min="5128" max="5376" width="9.140625" style="122"/>
    <col min="5377" max="5377" width="4.7109375" style="122" bestFit="1" customWidth="1"/>
    <col min="5378" max="5378" width="44.140625" style="122" customWidth="1"/>
    <col min="5379" max="5379" width="7.5703125" style="122" bestFit="1" customWidth="1"/>
    <col min="5380" max="5380" width="9.85546875" style="122" customWidth="1"/>
    <col min="5381" max="5381" width="8.140625" style="122" bestFit="1" customWidth="1"/>
    <col min="5382" max="5382" width="7.28515625" style="122" bestFit="1" customWidth="1"/>
    <col min="5383" max="5383" width="11.28515625" style="122" customWidth="1"/>
    <col min="5384" max="5632" width="9.140625" style="122"/>
    <col min="5633" max="5633" width="4.7109375" style="122" bestFit="1" customWidth="1"/>
    <col min="5634" max="5634" width="44.140625" style="122" customWidth="1"/>
    <col min="5635" max="5635" width="7.5703125" style="122" bestFit="1" customWidth="1"/>
    <col min="5636" max="5636" width="9.85546875" style="122" customWidth="1"/>
    <col min="5637" max="5637" width="8.140625" style="122" bestFit="1" customWidth="1"/>
    <col min="5638" max="5638" width="7.28515625" style="122" bestFit="1" customWidth="1"/>
    <col min="5639" max="5639" width="11.28515625" style="122" customWidth="1"/>
    <col min="5640" max="5888" width="9.140625" style="122"/>
    <col min="5889" max="5889" width="4.7109375" style="122" bestFit="1" customWidth="1"/>
    <col min="5890" max="5890" width="44.140625" style="122" customWidth="1"/>
    <col min="5891" max="5891" width="7.5703125" style="122" bestFit="1" customWidth="1"/>
    <col min="5892" max="5892" width="9.85546875" style="122" customWidth="1"/>
    <col min="5893" max="5893" width="8.140625" style="122" bestFit="1" customWidth="1"/>
    <col min="5894" max="5894" width="7.28515625" style="122" bestFit="1" customWidth="1"/>
    <col min="5895" max="5895" width="11.28515625" style="122" customWidth="1"/>
    <col min="5896" max="6144" width="9.140625" style="122"/>
    <col min="6145" max="6145" width="4.7109375" style="122" bestFit="1" customWidth="1"/>
    <col min="6146" max="6146" width="44.140625" style="122" customWidth="1"/>
    <col min="6147" max="6147" width="7.5703125" style="122" bestFit="1" customWidth="1"/>
    <col min="6148" max="6148" width="9.85546875" style="122" customWidth="1"/>
    <col min="6149" max="6149" width="8.140625" style="122" bestFit="1" customWidth="1"/>
    <col min="6150" max="6150" width="7.28515625" style="122" bestFit="1" customWidth="1"/>
    <col min="6151" max="6151" width="11.28515625" style="122" customWidth="1"/>
    <col min="6152" max="6400" width="9.140625" style="122"/>
    <col min="6401" max="6401" width="4.7109375" style="122" bestFit="1" customWidth="1"/>
    <col min="6402" max="6402" width="44.140625" style="122" customWidth="1"/>
    <col min="6403" max="6403" width="7.5703125" style="122" bestFit="1" customWidth="1"/>
    <col min="6404" max="6404" width="9.85546875" style="122" customWidth="1"/>
    <col min="6405" max="6405" width="8.140625" style="122" bestFit="1" customWidth="1"/>
    <col min="6406" max="6406" width="7.28515625" style="122" bestFit="1" customWidth="1"/>
    <col min="6407" max="6407" width="11.28515625" style="122" customWidth="1"/>
    <col min="6408" max="6656" width="9.140625" style="122"/>
    <col min="6657" max="6657" width="4.7109375" style="122" bestFit="1" customWidth="1"/>
    <col min="6658" max="6658" width="44.140625" style="122" customWidth="1"/>
    <col min="6659" max="6659" width="7.5703125" style="122" bestFit="1" customWidth="1"/>
    <col min="6660" max="6660" width="9.85546875" style="122" customWidth="1"/>
    <col min="6661" max="6661" width="8.140625" style="122" bestFit="1" customWidth="1"/>
    <col min="6662" max="6662" width="7.28515625" style="122" bestFit="1" customWidth="1"/>
    <col min="6663" max="6663" width="11.28515625" style="122" customWidth="1"/>
    <col min="6664" max="6912" width="9.140625" style="122"/>
    <col min="6913" max="6913" width="4.7109375" style="122" bestFit="1" customWidth="1"/>
    <col min="6914" max="6914" width="44.140625" style="122" customWidth="1"/>
    <col min="6915" max="6915" width="7.5703125" style="122" bestFit="1" customWidth="1"/>
    <col min="6916" max="6916" width="9.85546875" style="122" customWidth="1"/>
    <col min="6917" max="6917" width="8.140625" style="122" bestFit="1" customWidth="1"/>
    <col min="6918" max="6918" width="7.28515625" style="122" bestFit="1" customWidth="1"/>
    <col min="6919" max="6919" width="11.28515625" style="122" customWidth="1"/>
    <col min="6920" max="7168" width="9.140625" style="122"/>
    <col min="7169" max="7169" width="4.7109375" style="122" bestFit="1" customWidth="1"/>
    <col min="7170" max="7170" width="44.140625" style="122" customWidth="1"/>
    <col min="7171" max="7171" width="7.5703125" style="122" bestFit="1" customWidth="1"/>
    <col min="7172" max="7172" width="9.85546875" style="122" customWidth="1"/>
    <col min="7173" max="7173" width="8.140625" style="122" bestFit="1" customWidth="1"/>
    <col min="7174" max="7174" width="7.28515625" style="122" bestFit="1" customWidth="1"/>
    <col min="7175" max="7175" width="11.28515625" style="122" customWidth="1"/>
    <col min="7176" max="7424" width="9.140625" style="122"/>
    <col min="7425" max="7425" width="4.7109375" style="122" bestFit="1" customWidth="1"/>
    <col min="7426" max="7426" width="44.140625" style="122" customWidth="1"/>
    <col min="7427" max="7427" width="7.5703125" style="122" bestFit="1" customWidth="1"/>
    <col min="7428" max="7428" width="9.85546875" style="122" customWidth="1"/>
    <col min="7429" max="7429" width="8.140625" style="122" bestFit="1" customWidth="1"/>
    <col min="7430" max="7430" width="7.28515625" style="122" bestFit="1" customWidth="1"/>
    <col min="7431" max="7431" width="11.28515625" style="122" customWidth="1"/>
    <col min="7432" max="7680" width="9.140625" style="122"/>
    <col min="7681" max="7681" width="4.7109375" style="122" bestFit="1" customWidth="1"/>
    <col min="7682" max="7682" width="44.140625" style="122" customWidth="1"/>
    <col min="7683" max="7683" width="7.5703125" style="122" bestFit="1" customWidth="1"/>
    <col min="7684" max="7684" width="9.85546875" style="122" customWidth="1"/>
    <col min="7685" max="7685" width="8.140625" style="122" bestFit="1" customWidth="1"/>
    <col min="7686" max="7686" width="7.28515625" style="122" bestFit="1" customWidth="1"/>
    <col min="7687" max="7687" width="11.28515625" style="122" customWidth="1"/>
    <col min="7688" max="7936" width="9.140625" style="122"/>
    <col min="7937" max="7937" width="4.7109375" style="122" bestFit="1" customWidth="1"/>
    <col min="7938" max="7938" width="44.140625" style="122" customWidth="1"/>
    <col min="7939" max="7939" width="7.5703125" style="122" bestFit="1" customWidth="1"/>
    <col min="7940" max="7940" width="9.85546875" style="122" customWidth="1"/>
    <col min="7941" max="7941" width="8.140625" style="122" bestFit="1" customWidth="1"/>
    <col min="7942" max="7942" width="7.28515625" style="122" bestFit="1" customWidth="1"/>
    <col min="7943" max="7943" width="11.28515625" style="122" customWidth="1"/>
    <col min="7944" max="8192" width="9.140625" style="122"/>
    <col min="8193" max="8193" width="4.7109375" style="122" bestFit="1" customWidth="1"/>
    <col min="8194" max="8194" width="44.140625" style="122" customWidth="1"/>
    <col min="8195" max="8195" width="7.5703125" style="122" bestFit="1" customWidth="1"/>
    <col min="8196" max="8196" width="9.85546875" style="122" customWidth="1"/>
    <col min="8197" max="8197" width="8.140625" style="122" bestFit="1" customWidth="1"/>
    <col min="8198" max="8198" width="7.28515625" style="122" bestFit="1" customWidth="1"/>
    <col min="8199" max="8199" width="11.28515625" style="122" customWidth="1"/>
    <col min="8200" max="8448" width="9.140625" style="122"/>
    <col min="8449" max="8449" width="4.7109375" style="122" bestFit="1" customWidth="1"/>
    <col min="8450" max="8450" width="44.140625" style="122" customWidth="1"/>
    <col min="8451" max="8451" width="7.5703125" style="122" bestFit="1" customWidth="1"/>
    <col min="8452" max="8452" width="9.85546875" style="122" customWidth="1"/>
    <col min="8453" max="8453" width="8.140625" style="122" bestFit="1" customWidth="1"/>
    <col min="8454" max="8454" width="7.28515625" style="122" bestFit="1" customWidth="1"/>
    <col min="8455" max="8455" width="11.28515625" style="122" customWidth="1"/>
    <col min="8456" max="8704" width="9.140625" style="122"/>
    <col min="8705" max="8705" width="4.7109375" style="122" bestFit="1" customWidth="1"/>
    <col min="8706" max="8706" width="44.140625" style="122" customWidth="1"/>
    <col min="8707" max="8707" width="7.5703125" style="122" bestFit="1" customWidth="1"/>
    <col min="8708" max="8708" width="9.85546875" style="122" customWidth="1"/>
    <col min="8709" max="8709" width="8.140625" style="122" bestFit="1" customWidth="1"/>
    <col min="8710" max="8710" width="7.28515625" style="122" bestFit="1" customWidth="1"/>
    <col min="8711" max="8711" width="11.28515625" style="122" customWidth="1"/>
    <col min="8712" max="8960" width="9.140625" style="122"/>
    <col min="8961" max="8961" width="4.7109375" style="122" bestFit="1" customWidth="1"/>
    <col min="8962" max="8962" width="44.140625" style="122" customWidth="1"/>
    <col min="8963" max="8963" width="7.5703125" style="122" bestFit="1" customWidth="1"/>
    <col min="8964" max="8964" width="9.85546875" style="122" customWidth="1"/>
    <col min="8965" max="8965" width="8.140625" style="122" bestFit="1" customWidth="1"/>
    <col min="8966" max="8966" width="7.28515625" style="122" bestFit="1" customWidth="1"/>
    <col min="8967" max="8967" width="11.28515625" style="122" customWidth="1"/>
    <col min="8968" max="9216" width="9.140625" style="122"/>
    <col min="9217" max="9217" width="4.7109375" style="122" bestFit="1" customWidth="1"/>
    <col min="9218" max="9218" width="44.140625" style="122" customWidth="1"/>
    <col min="9219" max="9219" width="7.5703125" style="122" bestFit="1" customWidth="1"/>
    <col min="9220" max="9220" width="9.85546875" style="122" customWidth="1"/>
    <col min="9221" max="9221" width="8.140625" style="122" bestFit="1" customWidth="1"/>
    <col min="9222" max="9222" width="7.28515625" style="122" bestFit="1" customWidth="1"/>
    <col min="9223" max="9223" width="11.28515625" style="122" customWidth="1"/>
    <col min="9224" max="9472" width="9.140625" style="122"/>
    <col min="9473" max="9473" width="4.7109375" style="122" bestFit="1" customWidth="1"/>
    <col min="9474" max="9474" width="44.140625" style="122" customWidth="1"/>
    <col min="9475" max="9475" width="7.5703125" style="122" bestFit="1" customWidth="1"/>
    <col min="9476" max="9476" width="9.85546875" style="122" customWidth="1"/>
    <col min="9477" max="9477" width="8.140625" style="122" bestFit="1" customWidth="1"/>
    <col min="9478" max="9478" width="7.28515625" style="122" bestFit="1" customWidth="1"/>
    <col min="9479" max="9479" width="11.28515625" style="122" customWidth="1"/>
    <col min="9480" max="9728" width="9.140625" style="122"/>
    <col min="9729" max="9729" width="4.7109375" style="122" bestFit="1" customWidth="1"/>
    <col min="9730" max="9730" width="44.140625" style="122" customWidth="1"/>
    <col min="9731" max="9731" width="7.5703125" style="122" bestFit="1" customWidth="1"/>
    <col min="9732" max="9732" width="9.85546875" style="122" customWidth="1"/>
    <col min="9733" max="9733" width="8.140625" style="122" bestFit="1" customWidth="1"/>
    <col min="9734" max="9734" width="7.28515625" style="122" bestFit="1" customWidth="1"/>
    <col min="9735" max="9735" width="11.28515625" style="122" customWidth="1"/>
    <col min="9736" max="9984" width="9.140625" style="122"/>
    <col min="9985" max="9985" width="4.7109375" style="122" bestFit="1" customWidth="1"/>
    <col min="9986" max="9986" width="44.140625" style="122" customWidth="1"/>
    <col min="9987" max="9987" width="7.5703125" style="122" bestFit="1" customWidth="1"/>
    <col min="9988" max="9988" width="9.85546875" style="122" customWidth="1"/>
    <col min="9989" max="9989" width="8.140625" style="122" bestFit="1" customWidth="1"/>
    <col min="9990" max="9990" width="7.28515625" style="122" bestFit="1" customWidth="1"/>
    <col min="9991" max="9991" width="11.28515625" style="122" customWidth="1"/>
    <col min="9992" max="10240" width="9.140625" style="122"/>
    <col min="10241" max="10241" width="4.7109375" style="122" bestFit="1" customWidth="1"/>
    <col min="10242" max="10242" width="44.140625" style="122" customWidth="1"/>
    <col min="10243" max="10243" width="7.5703125" style="122" bestFit="1" customWidth="1"/>
    <col min="10244" max="10244" width="9.85546875" style="122" customWidth="1"/>
    <col min="10245" max="10245" width="8.140625" style="122" bestFit="1" customWidth="1"/>
    <col min="10246" max="10246" width="7.28515625" style="122" bestFit="1" customWidth="1"/>
    <col min="10247" max="10247" width="11.28515625" style="122" customWidth="1"/>
    <col min="10248" max="10496" width="9.140625" style="122"/>
    <col min="10497" max="10497" width="4.7109375" style="122" bestFit="1" customWidth="1"/>
    <col min="10498" max="10498" width="44.140625" style="122" customWidth="1"/>
    <col min="10499" max="10499" width="7.5703125" style="122" bestFit="1" customWidth="1"/>
    <col min="10500" max="10500" width="9.85546875" style="122" customWidth="1"/>
    <col min="10501" max="10501" width="8.140625" style="122" bestFit="1" customWidth="1"/>
    <col min="10502" max="10502" width="7.28515625" style="122" bestFit="1" customWidth="1"/>
    <col min="10503" max="10503" width="11.28515625" style="122" customWidth="1"/>
    <col min="10504" max="10752" width="9.140625" style="122"/>
    <col min="10753" max="10753" width="4.7109375" style="122" bestFit="1" customWidth="1"/>
    <col min="10754" max="10754" width="44.140625" style="122" customWidth="1"/>
    <col min="10755" max="10755" width="7.5703125" style="122" bestFit="1" customWidth="1"/>
    <col min="10756" max="10756" width="9.85546875" style="122" customWidth="1"/>
    <col min="10757" max="10757" width="8.140625" style="122" bestFit="1" customWidth="1"/>
    <col min="10758" max="10758" width="7.28515625" style="122" bestFit="1" customWidth="1"/>
    <col min="10759" max="10759" width="11.28515625" style="122" customWidth="1"/>
    <col min="10760" max="11008" width="9.140625" style="122"/>
    <col min="11009" max="11009" width="4.7109375" style="122" bestFit="1" customWidth="1"/>
    <col min="11010" max="11010" width="44.140625" style="122" customWidth="1"/>
    <col min="11011" max="11011" width="7.5703125" style="122" bestFit="1" customWidth="1"/>
    <col min="11012" max="11012" width="9.85546875" style="122" customWidth="1"/>
    <col min="11013" max="11013" width="8.140625" style="122" bestFit="1" customWidth="1"/>
    <col min="11014" max="11014" width="7.28515625" style="122" bestFit="1" customWidth="1"/>
    <col min="11015" max="11015" width="11.28515625" style="122" customWidth="1"/>
    <col min="11016" max="11264" width="9.140625" style="122"/>
    <col min="11265" max="11265" width="4.7109375" style="122" bestFit="1" customWidth="1"/>
    <col min="11266" max="11266" width="44.140625" style="122" customWidth="1"/>
    <col min="11267" max="11267" width="7.5703125" style="122" bestFit="1" customWidth="1"/>
    <col min="11268" max="11268" width="9.85546875" style="122" customWidth="1"/>
    <col min="11269" max="11269" width="8.140625" style="122" bestFit="1" customWidth="1"/>
    <col min="11270" max="11270" width="7.28515625" style="122" bestFit="1" customWidth="1"/>
    <col min="11271" max="11271" width="11.28515625" style="122" customWidth="1"/>
    <col min="11272" max="11520" width="9.140625" style="122"/>
    <col min="11521" max="11521" width="4.7109375" style="122" bestFit="1" customWidth="1"/>
    <col min="11522" max="11522" width="44.140625" style="122" customWidth="1"/>
    <col min="11523" max="11523" width="7.5703125" style="122" bestFit="1" customWidth="1"/>
    <col min="11524" max="11524" width="9.85546875" style="122" customWidth="1"/>
    <col min="11525" max="11525" width="8.140625" style="122" bestFit="1" customWidth="1"/>
    <col min="11526" max="11526" width="7.28515625" style="122" bestFit="1" customWidth="1"/>
    <col min="11527" max="11527" width="11.28515625" style="122" customWidth="1"/>
    <col min="11528" max="11776" width="9.140625" style="122"/>
    <col min="11777" max="11777" width="4.7109375" style="122" bestFit="1" customWidth="1"/>
    <col min="11778" max="11778" width="44.140625" style="122" customWidth="1"/>
    <col min="11779" max="11779" width="7.5703125" style="122" bestFit="1" customWidth="1"/>
    <col min="11780" max="11780" width="9.85546875" style="122" customWidth="1"/>
    <col min="11781" max="11781" width="8.140625" style="122" bestFit="1" customWidth="1"/>
    <col min="11782" max="11782" width="7.28515625" style="122" bestFit="1" customWidth="1"/>
    <col min="11783" max="11783" width="11.28515625" style="122" customWidth="1"/>
    <col min="11784" max="12032" width="9.140625" style="122"/>
    <col min="12033" max="12033" width="4.7109375" style="122" bestFit="1" customWidth="1"/>
    <col min="12034" max="12034" width="44.140625" style="122" customWidth="1"/>
    <col min="12035" max="12035" width="7.5703125" style="122" bestFit="1" customWidth="1"/>
    <col min="12036" max="12036" width="9.85546875" style="122" customWidth="1"/>
    <col min="12037" max="12037" width="8.140625" style="122" bestFit="1" customWidth="1"/>
    <col min="12038" max="12038" width="7.28515625" style="122" bestFit="1" customWidth="1"/>
    <col min="12039" max="12039" width="11.28515625" style="122" customWidth="1"/>
    <col min="12040" max="12288" width="9.140625" style="122"/>
    <col min="12289" max="12289" width="4.7109375" style="122" bestFit="1" customWidth="1"/>
    <col min="12290" max="12290" width="44.140625" style="122" customWidth="1"/>
    <col min="12291" max="12291" width="7.5703125" style="122" bestFit="1" customWidth="1"/>
    <col min="12292" max="12292" width="9.85546875" style="122" customWidth="1"/>
    <col min="12293" max="12293" width="8.140625" style="122" bestFit="1" customWidth="1"/>
    <col min="12294" max="12294" width="7.28515625" style="122" bestFit="1" customWidth="1"/>
    <col min="12295" max="12295" width="11.28515625" style="122" customWidth="1"/>
    <col min="12296" max="12544" width="9.140625" style="122"/>
    <col min="12545" max="12545" width="4.7109375" style="122" bestFit="1" customWidth="1"/>
    <col min="12546" max="12546" width="44.140625" style="122" customWidth="1"/>
    <col min="12547" max="12547" width="7.5703125" style="122" bestFit="1" customWidth="1"/>
    <col min="12548" max="12548" width="9.85546875" style="122" customWidth="1"/>
    <col min="12549" max="12549" width="8.140625" style="122" bestFit="1" customWidth="1"/>
    <col min="12550" max="12550" width="7.28515625" style="122" bestFit="1" customWidth="1"/>
    <col min="12551" max="12551" width="11.28515625" style="122" customWidth="1"/>
    <col min="12552" max="12800" width="9.140625" style="122"/>
    <col min="12801" max="12801" width="4.7109375" style="122" bestFit="1" customWidth="1"/>
    <col min="12802" max="12802" width="44.140625" style="122" customWidth="1"/>
    <col min="12803" max="12803" width="7.5703125" style="122" bestFit="1" customWidth="1"/>
    <col min="12804" max="12804" width="9.85546875" style="122" customWidth="1"/>
    <col min="12805" max="12805" width="8.140625" style="122" bestFit="1" customWidth="1"/>
    <col min="12806" max="12806" width="7.28515625" style="122" bestFit="1" customWidth="1"/>
    <col min="12807" max="12807" width="11.28515625" style="122" customWidth="1"/>
    <col min="12808" max="13056" width="9.140625" style="122"/>
    <col min="13057" max="13057" width="4.7109375" style="122" bestFit="1" customWidth="1"/>
    <col min="13058" max="13058" width="44.140625" style="122" customWidth="1"/>
    <col min="13059" max="13059" width="7.5703125" style="122" bestFit="1" customWidth="1"/>
    <col min="13060" max="13060" width="9.85546875" style="122" customWidth="1"/>
    <col min="13061" max="13061" width="8.140625" style="122" bestFit="1" customWidth="1"/>
    <col min="13062" max="13062" width="7.28515625" style="122" bestFit="1" customWidth="1"/>
    <col min="13063" max="13063" width="11.28515625" style="122" customWidth="1"/>
    <col min="13064" max="13312" width="9.140625" style="122"/>
    <col min="13313" max="13313" width="4.7109375" style="122" bestFit="1" customWidth="1"/>
    <col min="13314" max="13314" width="44.140625" style="122" customWidth="1"/>
    <col min="13315" max="13315" width="7.5703125" style="122" bestFit="1" customWidth="1"/>
    <col min="13316" max="13316" width="9.85546875" style="122" customWidth="1"/>
    <col min="13317" max="13317" width="8.140625" style="122" bestFit="1" customWidth="1"/>
    <col min="13318" max="13318" width="7.28515625" style="122" bestFit="1" customWidth="1"/>
    <col min="13319" max="13319" width="11.28515625" style="122" customWidth="1"/>
    <col min="13320" max="13568" width="9.140625" style="122"/>
    <col min="13569" max="13569" width="4.7109375" style="122" bestFit="1" customWidth="1"/>
    <col min="13570" max="13570" width="44.140625" style="122" customWidth="1"/>
    <col min="13571" max="13571" width="7.5703125" style="122" bestFit="1" customWidth="1"/>
    <col min="13572" max="13572" width="9.85546875" style="122" customWidth="1"/>
    <col min="13573" max="13573" width="8.140625" style="122" bestFit="1" customWidth="1"/>
    <col min="13574" max="13574" width="7.28515625" style="122" bestFit="1" customWidth="1"/>
    <col min="13575" max="13575" width="11.28515625" style="122" customWidth="1"/>
    <col min="13576" max="13824" width="9.140625" style="122"/>
    <col min="13825" max="13825" width="4.7109375" style="122" bestFit="1" customWidth="1"/>
    <col min="13826" max="13826" width="44.140625" style="122" customWidth="1"/>
    <col min="13827" max="13827" width="7.5703125" style="122" bestFit="1" customWidth="1"/>
    <col min="13828" max="13828" width="9.85546875" style="122" customWidth="1"/>
    <col min="13829" max="13829" width="8.140625" style="122" bestFit="1" customWidth="1"/>
    <col min="13830" max="13830" width="7.28515625" style="122" bestFit="1" customWidth="1"/>
    <col min="13831" max="13831" width="11.28515625" style="122" customWidth="1"/>
    <col min="13832" max="14080" width="9.140625" style="122"/>
    <col min="14081" max="14081" width="4.7109375" style="122" bestFit="1" customWidth="1"/>
    <col min="14082" max="14082" width="44.140625" style="122" customWidth="1"/>
    <col min="14083" max="14083" width="7.5703125" style="122" bestFit="1" customWidth="1"/>
    <col min="14084" max="14084" width="9.85546875" style="122" customWidth="1"/>
    <col min="14085" max="14085" width="8.140625" style="122" bestFit="1" customWidth="1"/>
    <col min="14086" max="14086" width="7.28515625" style="122" bestFit="1" customWidth="1"/>
    <col min="14087" max="14087" width="11.28515625" style="122" customWidth="1"/>
    <col min="14088" max="14336" width="9.140625" style="122"/>
    <col min="14337" max="14337" width="4.7109375" style="122" bestFit="1" customWidth="1"/>
    <col min="14338" max="14338" width="44.140625" style="122" customWidth="1"/>
    <col min="14339" max="14339" width="7.5703125" style="122" bestFit="1" customWidth="1"/>
    <col min="14340" max="14340" width="9.85546875" style="122" customWidth="1"/>
    <col min="14341" max="14341" width="8.140625" style="122" bestFit="1" customWidth="1"/>
    <col min="14342" max="14342" width="7.28515625" style="122" bestFit="1" customWidth="1"/>
    <col min="14343" max="14343" width="11.28515625" style="122" customWidth="1"/>
    <col min="14344" max="14592" width="9.140625" style="122"/>
    <col min="14593" max="14593" width="4.7109375" style="122" bestFit="1" customWidth="1"/>
    <col min="14594" max="14594" width="44.140625" style="122" customWidth="1"/>
    <col min="14595" max="14595" width="7.5703125" style="122" bestFit="1" customWidth="1"/>
    <col min="14596" max="14596" width="9.85546875" style="122" customWidth="1"/>
    <col min="14597" max="14597" width="8.140625" style="122" bestFit="1" customWidth="1"/>
    <col min="14598" max="14598" width="7.28515625" style="122" bestFit="1" customWidth="1"/>
    <col min="14599" max="14599" width="11.28515625" style="122" customWidth="1"/>
    <col min="14600" max="14848" width="9.140625" style="122"/>
    <col min="14849" max="14849" width="4.7109375" style="122" bestFit="1" customWidth="1"/>
    <col min="14850" max="14850" width="44.140625" style="122" customWidth="1"/>
    <col min="14851" max="14851" width="7.5703125" style="122" bestFit="1" customWidth="1"/>
    <col min="14852" max="14852" width="9.85546875" style="122" customWidth="1"/>
    <col min="14853" max="14853" width="8.140625" style="122" bestFit="1" customWidth="1"/>
    <col min="14854" max="14854" width="7.28515625" style="122" bestFit="1" customWidth="1"/>
    <col min="14855" max="14855" width="11.28515625" style="122" customWidth="1"/>
    <col min="14856" max="15104" width="9.140625" style="122"/>
    <col min="15105" max="15105" width="4.7109375" style="122" bestFit="1" customWidth="1"/>
    <col min="15106" max="15106" width="44.140625" style="122" customWidth="1"/>
    <col min="15107" max="15107" width="7.5703125" style="122" bestFit="1" customWidth="1"/>
    <col min="15108" max="15108" width="9.85546875" style="122" customWidth="1"/>
    <col min="15109" max="15109" width="8.140625" style="122" bestFit="1" customWidth="1"/>
    <col min="15110" max="15110" width="7.28515625" style="122" bestFit="1" customWidth="1"/>
    <col min="15111" max="15111" width="11.28515625" style="122" customWidth="1"/>
    <col min="15112" max="15360" width="9.140625" style="122"/>
    <col min="15361" max="15361" width="4.7109375" style="122" bestFit="1" customWidth="1"/>
    <col min="15362" max="15362" width="44.140625" style="122" customWidth="1"/>
    <col min="15363" max="15363" width="7.5703125" style="122" bestFit="1" customWidth="1"/>
    <col min="15364" max="15364" width="9.85546875" style="122" customWidth="1"/>
    <col min="15365" max="15365" width="8.140625" style="122" bestFit="1" customWidth="1"/>
    <col min="15366" max="15366" width="7.28515625" style="122" bestFit="1" customWidth="1"/>
    <col min="15367" max="15367" width="11.28515625" style="122" customWidth="1"/>
    <col min="15368" max="15616" width="9.140625" style="122"/>
    <col min="15617" max="15617" width="4.7109375" style="122" bestFit="1" customWidth="1"/>
    <col min="15618" max="15618" width="44.140625" style="122" customWidth="1"/>
    <col min="15619" max="15619" width="7.5703125" style="122" bestFit="1" customWidth="1"/>
    <col min="15620" max="15620" width="9.85546875" style="122" customWidth="1"/>
    <col min="15621" max="15621" width="8.140625" style="122" bestFit="1" customWidth="1"/>
    <col min="15622" max="15622" width="7.28515625" style="122" bestFit="1" customWidth="1"/>
    <col min="15623" max="15623" width="11.28515625" style="122" customWidth="1"/>
    <col min="15624" max="15872" width="9.140625" style="122"/>
    <col min="15873" max="15873" width="4.7109375" style="122" bestFit="1" customWidth="1"/>
    <col min="15874" max="15874" width="44.140625" style="122" customWidth="1"/>
    <col min="15875" max="15875" width="7.5703125" style="122" bestFit="1" customWidth="1"/>
    <col min="15876" max="15876" width="9.85546875" style="122" customWidth="1"/>
    <col min="15877" max="15877" width="8.140625" style="122" bestFit="1" customWidth="1"/>
    <col min="15878" max="15878" width="7.28515625" style="122" bestFit="1" customWidth="1"/>
    <col min="15879" max="15879" width="11.28515625" style="122" customWidth="1"/>
    <col min="15880" max="16128" width="9.140625" style="122"/>
    <col min="16129" max="16129" width="4.7109375" style="122" bestFit="1" customWidth="1"/>
    <col min="16130" max="16130" width="44.140625" style="122" customWidth="1"/>
    <col min="16131" max="16131" width="7.5703125" style="122" bestFit="1" customWidth="1"/>
    <col min="16132" max="16132" width="9.85546875" style="122" customWidth="1"/>
    <col min="16133" max="16133" width="8.140625" style="122" bestFit="1" customWidth="1"/>
    <col min="16134" max="16134" width="7.28515625" style="122" bestFit="1" customWidth="1"/>
    <col min="16135" max="16135" width="11.28515625" style="122" customWidth="1"/>
    <col min="16136" max="16384" width="9.140625" style="122"/>
  </cols>
  <sheetData>
    <row r="1" spans="1:6" ht="5.25" customHeight="1" x14ac:dyDescent="0.2">
      <c r="A1" s="408"/>
      <c r="B1" s="408"/>
      <c r="C1" s="408"/>
      <c r="D1" s="408"/>
      <c r="E1" s="408"/>
      <c r="F1" s="408"/>
    </row>
    <row r="2" spans="1:6" ht="23.25" customHeight="1" x14ac:dyDescent="0.2">
      <c r="A2" s="409" t="s">
        <v>232</v>
      </c>
      <c r="B2" s="410"/>
      <c r="C2" s="410"/>
      <c r="D2" s="410"/>
      <c r="E2" s="410"/>
      <c r="F2" s="411"/>
    </row>
    <row r="3" spans="1:6" s="124" customFormat="1" ht="22.5" customHeight="1" x14ac:dyDescent="0.2">
      <c r="A3" s="123" t="s">
        <v>91</v>
      </c>
      <c r="B3" s="123" t="s">
        <v>233</v>
      </c>
      <c r="C3" s="123" t="s">
        <v>234</v>
      </c>
      <c r="D3" s="123" t="s">
        <v>235</v>
      </c>
      <c r="E3" s="123" t="s">
        <v>176</v>
      </c>
      <c r="F3" s="123" t="s">
        <v>236</v>
      </c>
    </row>
    <row r="4" spans="1:6" ht="24" customHeight="1" x14ac:dyDescent="0.2">
      <c r="A4" s="125">
        <v>52</v>
      </c>
      <c r="B4" s="187" t="s">
        <v>237</v>
      </c>
      <c r="C4" s="125" t="s">
        <v>238</v>
      </c>
      <c r="D4" s="172">
        <v>100</v>
      </c>
      <c r="E4" s="126">
        <v>1.5</v>
      </c>
      <c r="F4" s="126">
        <f>D4*E4/12</f>
        <v>12.5</v>
      </c>
    </row>
    <row r="5" spans="1:6" ht="33" customHeight="1" x14ac:dyDescent="0.2">
      <c r="A5" s="125">
        <v>53</v>
      </c>
      <c r="B5" s="187" t="s">
        <v>239</v>
      </c>
      <c r="C5" s="125" t="s">
        <v>238</v>
      </c>
      <c r="D5" s="172">
        <v>5</v>
      </c>
      <c r="E5" s="126">
        <v>2.5</v>
      </c>
      <c r="F5" s="126">
        <f t="shared" ref="F5:F14" si="0">D5*E5/12</f>
        <v>1.0416666666666667</v>
      </c>
    </row>
    <row r="6" spans="1:6" ht="24" customHeight="1" x14ac:dyDescent="0.2">
      <c r="A6" s="125">
        <v>54</v>
      </c>
      <c r="B6" s="187" t="s">
        <v>240</v>
      </c>
      <c r="C6" s="125" t="s">
        <v>238</v>
      </c>
      <c r="D6" s="172">
        <v>5</v>
      </c>
      <c r="E6" s="126">
        <v>3.5</v>
      </c>
      <c r="F6" s="126">
        <f t="shared" si="0"/>
        <v>1.4583333333333333</v>
      </c>
    </row>
    <row r="7" spans="1:6" ht="24" customHeight="1" x14ac:dyDescent="0.2">
      <c r="A7" s="125">
        <v>55</v>
      </c>
      <c r="B7" s="187" t="s">
        <v>241</v>
      </c>
      <c r="C7" s="125" t="s">
        <v>238</v>
      </c>
      <c r="D7" s="172">
        <v>5</v>
      </c>
      <c r="E7" s="126">
        <v>3.5</v>
      </c>
      <c r="F7" s="126">
        <f>D7*E7/12</f>
        <v>1.4583333333333333</v>
      </c>
    </row>
    <row r="8" spans="1:6" ht="24" customHeight="1" x14ac:dyDescent="0.2">
      <c r="A8" s="125">
        <v>56</v>
      </c>
      <c r="B8" s="187" t="s">
        <v>242</v>
      </c>
      <c r="C8" s="125" t="s">
        <v>238</v>
      </c>
      <c r="D8" s="172">
        <v>5</v>
      </c>
      <c r="E8" s="126">
        <v>7.5</v>
      </c>
      <c r="F8" s="126">
        <f t="shared" si="0"/>
        <v>3.125</v>
      </c>
    </row>
    <row r="9" spans="1:6" ht="24" customHeight="1" x14ac:dyDescent="0.2">
      <c r="A9" s="125">
        <v>57</v>
      </c>
      <c r="B9" s="187" t="s">
        <v>243</v>
      </c>
      <c r="C9" s="125" t="s">
        <v>238</v>
      </c>
      <c r="D9" s="172">
        <v>4</v>
      </c>
      <c r="E9" s="126">
        <v>2.5</v>
      </c>
      <c r="F9" s="126">
        <f t="shared" si="0"/>
        <v>0.83333333333333337</v>
      </c>
    </row>
    <row r="10" spans="1:6" ht="24" customHeight="1" x14ac:dyDescent="0.2">
      <c r="A10" s="125">
        <v>58</v>
      </c>
      <c r="B10" s="187" t="s">
        <v>244</v>
      </c>
      <c r="C10" s="125" t="s">
        <v>238</v>
      </c>
      <c r="D10" s="172">
        <v>1</v>
      </c>
      <c r="E10" s="126">
        <v>3</v>
      </c>
      <c r="F10" s="126">
        <f t="shared" si="0"/>
        <v>0.25</v>
      </c>
    </row>
    <row r="11" spans="1:6" ht="24" customHeight="1" x14ac:dyDescent="0.2">
      <c r="A11" s="125">
        <v>59</v>
      </c>
      <c r="B11" s="187" t="s">
        <v>245</v>
      </c>
      <c r="C11" s="125" t="s">
        <v>238</v>
      </c>
      <c r="D11" s="172">
        <v>3</v>
      </c>
      <c r="E11" s="126">
        <v>20</v>
      </c>
      <c r="F11" s="126">
        <f>D11*E11/60</f>
        <v>1</v>
      </c>
    </row>
    <row r="12" spans="1:6" ht="26.25" customHeight="1" x14ac:dyDescent="0.2">
      <c r="A12" s="125">
        <v>60</v>
      </c>
      <c r="B12" s="187" t="s">
        <v>246</v>
      </c>
      <c r="C12" s="125" t="s">
        <v>238</v>
      </c>
      <c r="D12" s="172">
        <v>3</v>
      </c>
      <c r="E12" s="126">
        <v>15</v>
      </c>
      <c r="F12" s="126">
        <f>D12*E12/60</f>
        <v>0.75</v>
      </c>
    </row>
    <row r="13" spans="1:6" ht="24" customHeight="1" x14ac:dyDescent="0.2">
      <c r="A13" s="125">
        <v>61</v>
      </c>
      <c r="B13" s="187" t="s">
        <v>247</v>
      </c>
      <c r="C13" s="125" t="s">
        <v>238</v>
      </c>
      <c r="D13" s="172">
        <v>3</v>
      </c>
      <c r="E13" s="126">
        <v>12</v>
      </c>
      <c r="F13" s="126">
        <f>D13*E13/60</f>
        <v>0.6</v>
      </c>
    </row>
    <row r="14" spans="1:6" x14ac:dyDescent="0.2">
      <c r="A14" s="125">
        <v>62</v>
      </c>
      <c r="B14" s="187" t="s">
        <v>248</v>
      </c>
      <c r="C14" s="125" t="s">
        <v>249</v>
      </c>
      <c r="D14" s="172">
        <v>5</v>
      </c>
      <c r="E14" s="126">
        <v>12</v>
      </c>
      <c r="F14" s="126">
        <f t="shared" si="0"/>
        <v>5</v>
      </c>
    </row>
    <row r="15" spans="1:6" ht="24" customHeight="1" x14ac:dyDescent="0.2">
      <c r="A15" s="125">
        <v>63</v>
      </c>
      <c r="B15" s="187" t="s">
        <v>250</v>
      </c>
      <c r="C15" s="125" t="s">
        <v>238</v>
      </c>
      <c r="D15" s="172">
        <v>2</v>
      </c>
      <c r="E15" s="126">
        <v>10</v>
      </c>
      <c r="F15" s="126">
        <f t="shared" ref="F15" si="1">D15*E15/60</f>
        <v>0.33333333333333331</v>
      </c>
    </row>
    <row r="16" spans="1:6" ht="33" customHeight="1" x14ac:dyDescent="0.2">
      <c r="A16" s="125">
        <v>64</v>
      </c>
      <c r="B16" s="187" t="s">
        <v>251</v>
      </c>
      <c r="C16" s="125" t="s">
        <v>238</v>
      </c>
      <c r="D16" s="172">
        <v>1</v>
      </c>
      <c r="E16" s="126">
        <v>20</v>
      </c>
      <c r="F16" s="126">
        <f t="shared" ref="F16:F25" si="2">D16*E16/12</f>
        <v>1.6666666666666667</v>
      </c>
    </row>
    <row r="17" spans="1:6" ht="33" customHeight="1" x14ac:dyDescent="0.2">
      <c r="A17" s="125">
        <v>65</v>
      </c>
      <c r="B17" s="187" t="s">
        <v>252</v>
      </c>
      <c r="C17" s="125" t="s">
        <v>238</v>
      </c>
      <c r="D17" s="172">
        <v>1</v>
      </c>
      <c r="E17" s="126">
        <v>20</v>
      </c>
      <c r="F17" s="126">
        <f t="shared" si="2"/>
        <v>1.6666666666666667</v>
      </c>
    </row>
    <row r="18" spans="1:6" ht="33" customHeight="1" x14ac:dyDescent="0.2">
      <c r="A18" s="125">
        <v>66</v>
      </c>
      <c r="B18" s="187" t="s">
        <v>253</v>
      </c>
      <c r="C18" s="125" t="s">
        <v>238</v>
      </c>
      <c r="D18" s="172">
        <v>1</v>
      </c>
      <c r="E18" s="126">
        <v>20</v>
      </c>
      <c r="F18" s="126">
        <f t="shared" si="2"/>
        <v>1.6666666666666667</v>
      </c>
    </row>
    <row r="19" spans="1:6" ht="33" customHeight="1" x14ac:dyDescent="0.2">
      <c r="A19" s="125">
        <v>67</v>
      </c>
      <c r="B19" s="187" t="s">
        <v>254</v>
      </c>
      <c r="C19" s="125" t="s">
        <v>238</v>
      </c>
      <c r="D19" s="172">
        <v>1</v>
      </c>
      <c r="E19" s="126">
        <v>5</v>
      </c>
      <c r="F19" s="126">
        <f>D19*E19/12</f>
        <v>0.41666666666666669</v>
      </c>
    </row>
    <row r="20" spans="1:6" ht="33" customHeight="1" x14ac:dyDescent="0.2">
      <c r="A20" s="125">
        <v>68</v>
      </c>
      <c r="B20" s="185" t="s">
        <v>346</v>
      </c>
      <c r="C20" s="125" t="s">
        <v>238</v>
      </c>
      <c r="D20" s="172">
        <v>1</v>
      </c>
      <c r="E20" s="126">
        <v>10</v>
      </c>
      <c r="F20" s="126">
        <f>D20*E20/60</f>
        <v>0.16666666666666666</v>
      </c>
    </row>
    <row r="21" spans="1:6" ht="33" customHeight="1" x14ac:dyDescent="0.2">
      <c r="A21" s="125">
        <v>69</v>
      </c>
      <c r="B21" s="185" t="s">
        <v>261</v>
      </c>
      <c r="C21" s="125" t="s">
        <v>238</v>
      </c>
      <c r="D21" s="172">
        <v>1</v>
      </c>
      <c r="E21" s="126">
        <v>50</v>
      </c>
      <c r="F21" s="126">
        <f t="shared" ref="F21:F24" si="3">D21*E21/12</f>
        <v>4.166666666666667</v>
      </c>
    </row>
    <row r="22" spans="1:6" ht="46.5" customHeight="1" x14ac:dyDescent="0.2">
      <c r="A22" s="125">
        <v>70</v>
      </c>
      <c r="B22" s="185" t="s">
        <v>421</v>
      </c>
      <c r="C22" s="125" t="s">
        <v>238</v>
      </c>
      <c r="D22" s="172">
        <v>2</v>
      </c>
      <c r="E22" s="126">
        <v>15</v>
      </c>
      <c r="F22" s="126">
        <f t="shared" si="3"/>
        <v>2.5</v>
      </c>
    </row>
    <row r="23" spans="1:6" ht="39.75" customHeight="1" x14ac:dyDescent="0.2">
      <c r="A23" s="125">
        <v>71</v>
      </c>
      <c r="B23" s="185" t="s">
        <v>347</v>
      </c>
      <c r="C23" s="125" t="s">
        <v>238</v>
      </c>
      <c r="D23" s="172">
        <v>2</v>
      </c>
      <c r="E23" s="126">
        <v>25</v>
      </c>
      <c r="F23" s="126">
        <f t="shared" si="3"/>
        <v>4.166666666666667</v>
      </c>
    </row>
    <row r="24" spans="1:6" ht="39.75" customHeight="1" x14ac:dyDescent="0.2">
      <c r="A24" s="125">
        <v>72</v>
      </c>
      <c r="B24" s="185" t="s">
        <v>262</v>
      </c>
      <c r="C24" s="125" t="s">
        <v>238</v>
      </c>
      <c r="D24" s="172">
        <v>1</v>
      </c>
      <c r="E24" s="126">
        <v>50</v>
      </c>
      <c r="F24" s="126">
        <f t="shared" si="3"/>
        <v>4.166666666666667</v>
      </c>
    </row>
    <row r="25" spans="1:6" ht="39.75" customHeight="1" x14ac:dyDescent="0.2">
      <c r="A25" s="125">
        <v>73</v>
      </c>
      <c r="B25" s="185" t="s">
        <v>348</v>
      </c>
      <c r="C25" s="125" t="s">
        <v>238</v>
      </c>
      <c r="D25" s="172">
        <v>1</v>
      </c>
      <c r="E25" s="126">
        <v>10</v>
      </c>
      <c r="F25" s="126">
        <f t="shared" si="2"/>
        <v>0.83333333333333337</v>
      </c>
    </row>
    <row r="26" spans="1:6" ht="24" customHeight="1" x14ac:dyDescent="0.2">
      <c r="A26" s="407" t="s">
        <v>255</v>
      </c>
      <c r="B26" s="407"/>
      <c r="C26" s="407"/>
      <c r="D26" s="407"/>
      <c r="E26" s="407"/>
      <c r="F26" s="127">
        <f>SUM(F4:F25)</f>
        <v>49.766666666666659</v>
      </c>
    </row>
    <row r="27" spans="1:6" ht="24" customHeight="1" x14ac:dyDescent="0.2">
      <c r="A27" s="407" t="s">
        <v>432</v>
      </c>
      <c r="B27" s="407"/>
      <c r="C27" s="407"/>
      <c r="D27" s="407"/>
      <c r="E27" s="407"/>
      <c r="F27" s="127">
        <f>SUM(F5:F26)*6/28</f>
        <v>18.650000000000002</v>
      </c>
    </row>
    <row r="29" spans="1:6" ht="23.25" customHeight="1" x14ac:dyDescent="0.2">
      <c r="A29" s="409" t="s">
        <v>256</v>
      </c>
      <c r="B29" s="410"/>
      <c r="C29" s="410"/>
      <c r="D29" s="410"/>
      <c r="E29" s="410"/>
      <c r="F29" s="411"/>
    </row>
    <row r="30" spans="1:6" s="124" customFormat="1" ht="22.5" customHeight="1" x14ac:dyDescent="0.2">
      <c r="A30" s="123" t="s">
        <v>91</v>
      </c>
      <c r="B30" s="123" t="s">
        <v>233</v>
      </c>
      <c r="C30" s="123" t="s">
        <v>234</v>
      </c>
      <c r="D30" s="123" t="s">
        <v>235</v>
      </c>
      <c r="E30" s="123" t="s">
        <v>176</v>
      </c>
      <c r="F30" s="123" t="s">
        <v>236</v>
      </c>
    </row>
    <row r="31" spans="1:6" ht="51.75" customHeight="1" x14ac:dyDescent="0.2">
      <c r="A31" s="125">
        <v>74</v>
      </c>
      <c r="B31" s="168" t="s">
        <v>257</v>
      </c>
      <c r="C31" s="125" t="s">
        <v>258</v>
      </c>
      <c r="D31" s="172">
        <v>1</v>
      </c>
      <c r="E31" s="126">
        <v>400</v>
      </c>
      <c r="F31" s="126">
        <f t="shared" ref="F31:F32" si="4">D31*E31/60</f>
        <v>6.666666666666667</v>
      </c>
    </row>
    <row r="32" spans="1:6" ht="30.75" customHeight="1" x14ac:dyDescent="0.2">
      <c r="A32" s="125">
        <v>75</v>
      </c>
      <c r="B32" s="168" t="s">
        <v>259</v>
      </c>
      <c r="C32" s="125" t="s">
        <v>260</v>
      </c>
      <c r="D32" s="172">
        <v>1</v>
      </c>
      <c r="E32" s="126">
        <v>100</v>
      </c>
      <c r="F32" s="126">
        <f t="shared" si="4"/>
        <v>1.6666666666666667</v>
      </c>
    </row>
    <row r="33" spans="1:6" ht="24" customHeight="1" x14ac:dyDescent="0.2">
      <c r="A33" s="407" t="s">
        <v>255</v>
      </c>
      <c r="B33" s="407"/>
      <c r="C33" s="407"/>
      <c r="D33" s="407"/>
      <c r="E33" s="407"/>
      <c r="F33" s="127">
        <f>SUM(F31:F32)</f>
        <v>8.3333333333333339</v>
      </c>
    </row>
    <row r="34" spans="1:6" ht="24" customHeight="1" x14ac:dyDescent="0.2">
      <c r="A34" s="407" t="s">
        <v>433</v>
      </c>
      <c r="B34" s="407"/>
      <c r="C34" s="407"/>
      <c r="D34" s="407"/>
      <c r="E34" s="407"/>
      <c r="F34" s="127">
        <f>F33*6/28</f>
        <v>1.7857142857142858</v>
      </c>
    </row>
    <row r="36" spans="1:6" ht="24" customHeight="1" x14ac:dyDescent="0.2">
      <c r="A36" s="407" t="s">
        <v>433</v>
      </c>
      <c r="B36" s="407"/>
      <c r="C36" s="407"/>
      <c r="D36" s="407"/>
      <c r="E36" s="407"/>
      <c r="F36" s="127">
        <f>F27+F34</f>
        <v>20.435714285714287</v>
      </c>
    </row>
  </sheetData>
  <sheetProtection selectLockedCells="1" selectUnlockedCells="1"/>
  <mergeCells count="8">
    <mergeCell ref="A34:E34"/>
    <mergeCell ref="A36:E36"/>
    <mergeCell ref="A1:F1"/>
    <mergeCell ref="A2:F2"/>
    <mergeCell ref="A26:E26"/>
    <mergeCell ref="A27:E27"/>
    <mergeCell ref="A29:F29"/>
    <mergeCell ref="A33:E33"/>
  </mergeCells>
  <pageMargins left="0.74803149606299213" right="0.43307086614173229" top="1.21" bottom="0.98425196850393704" header="0.51181102362204722" footer="0.51181102362204722"/>
  <pageSetup paperSize="9" scale="104" firstPageNumber="0" orientation="portrait" horizontalDpi="300" verticalDpi="300" r:id="rId1"/>
  <headerFooter alignWithMargins="0">
    <oddHeader>&amp;L&amp;"Times New Roman,Negrito"&amp;8MPS MINISTÉRIO DA PREVIDÊNCIA SOCIAL
INSS - Instituto Nacional do Seguro Social
CGEPI Divisão de Manutenção e Engenharia de Avaliação</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31"/>
  <sheetViews>
    <sheetView topLeftCell="A21" zoomScaleNormal="100" zoomScaleSheetLayoutView="115" workbookViewId="0">
      <selection activeCell="F32" sqref="F32"/>
    </sheetView>
  </sheetViews>
  <sheetFormatPr defaultRowHeight="12.75" x14ac:dyDescent="0.2"/>
  <cols>
    <col min="1" max="1" width="4.7109375" style="122" bestFit="1" customWidth="1"/>
    <col min="2" max="2" width="50.85546875" style="122" customWidth="1"/>
    <col min="3" max="3" width="8.42578125" style="122" customWidth="1"/>
    <col min="4" max="5" width="9.28515625" style="122" customWidth="1"/>
    <col min="6" max="6" width="13.5703125" style="122" customWidth="1"/>
    <col min="7" max="7" width="10.140625" style="122" customWidth="1"/>
    <col min="8" max="8" width="10.5703125" style="122" bestFit="1" customWidth="1"/>
    <col min="9" max="256" width="9.140625" style="122"/>
    <col min="257" max="257" width="4.7109375" style="122" bestFit="1" customWidth="1"/>
    <col min="258" max="258" width="50.85546875" style="122" customWidth="1"/>
    <col min="259" max="259" width="8.42578125" style="122" customWidth="1"/>
    <col min="260" max="261" width="9.28515625" style="122" customWidth="1"/>
    <col min="262" max="262" width="13.5703125" style="122" customWidth="1"/>
    <col min="263" max="263" width="10.140625" style="122" customWidth="1"/>
    <col min="264" max="264" width="10.5703125" style="122" bestFit="1" customWidth="1"/>
    <col min="265" max="512" width="9.140625" style="122"/>
    <col min="513" max="513" width="4.7109375" style="122" bestFit="1" customWidth="1"/>
    <col min="514" max="514" width="50.85546875" style="122" customWidth="1"/>
    <col min="515" max="515" width="8.42578125" style="122" customWidth="1"/>
    <col min="516" max="517" width="9.28515625" style="122" customWidth="1"/>
    <col min="518" max="518" width="13.5703125" style="122" customWidth="1"/>
    <col min="519" max="519" width="10.140625" style="122" customWidth="1"/>
    <col min="520" max="520" width="10.5703125" style="122" bestFit="1" customWidth="1"/>
    <col min="521" max="768" width="9.140625" style="122"/>
    <col min="769" max="769" width="4.7109375" style="122" bestFit="1" customWidth="1"/>
    <col min="770" max="770" width="50.85546875" style="122" customWidth="1"/>
    <col min="771" max="771" width="8.42578125" style="122" customWidth="1"/>
    <col min="772" max="773" width="9.28515625" style="122" customWidth="1"/>
    <col min="774" max="774" width="13.5703125" style="122" customWidth="1"/>
    <col min="775" max="775" width="10.140625" style="122" customWidth="1"/>
    <col min="776" max="776" width="10.5703125" style="122" bestFit="1" customWidth="1"/>
    <col min="777" max="1024" width="9.140625" style="122"/>
    <col min="1025" max="1025" width="4.7109375" style="122" bestFit="1" customWidth="1"/>
    <col min="1026" max="1026" width="50.85546875" style="122" customWidth="1"/>
    <col min="1027" max="1027" width="8.42578125" style="122" customWidth="1"/>
    <col min="1028" max="1029" width="9.28515625" style="122" customWidth="1"/>
    <col min="1030" max="1030" width="13.5703125" style="122" customWidth="1"/>
    <col min="1031" max="1031" width="10.140625" style="122" customWidth="1"/>
    <col min="1032" max="1032" width="10.5703125" style="122" bestFit="1" customWidth="1"/>
    <col min="1033" max="1280" width="9.140625" style="122"/>
    <col min="1281" max="1281" width="4.7109375" style="122" bestFit="1" customWidth="1"/>
    <col min="1282" max="1282" width="50.85546875" style="122" customWidth="1"/>
    <col min="1283" max="1283" width="8.42578125" style="122" customWidth="1"/>
    <col min="1284" max="1285" width="9.28515625" style="122" customWidth="1"/>
    <col min="1286" max="1286" width="13.5703125" style="122" customWidth="1"/>
    <col min="1287" max="1287" width="10.140625" style="122" customWidth="1"/>
    <col min="1288" max="1288" width="10.5703125" style="122" bestFit="1" customWidth="1"/>
    <col min="1289" max="1536" width="9.140625" style="122"/>
    <col min="1537" max="1537" width="4.7109375" style="122" bestFit="1" customWidth="1"/>
    <col min="1538" max="1538" width="50.85546875" style="122" customWidth="1"/>
    <col min="1539" max="1539" width="8.42578125" style="122" customWidth="1"/>
    <col min="1540" max="1541" width="9.28515625" style="122" customWidth="1"/>
    <col min="1542" max="1542" width="13.5703125" style="122" customWidth="1"/>
    <col min="1543" max="1543" width="10.140625" style="122" customWidth="1"/>
    <col min="1544" max="1544" width="10.5703125" style="122" bestFit="1" customWidth="1"/>
    <col min="1545" max="1792" width="9.140625" style="122"/>
    <col min="1793" max="1793" width="4.7109375" style="122" bestFit="1" customWidth="1"/>
    <col min="1794" max="1794" width="50.85546875" style="122" customWidth="1"/>
    <col min="1795" max="1795" width="8.42578125" style="122" customWidth="1"/>
    <col min="1796" max="1797" width="9.28515625" style="122" customWidth="1"/>
    <col min="1798" max="1798" width="13.5703125" style="122" customWidth="1"/>
    <col min="1799" max="1799" width="10.140625" style="122" customWidth="1"/>
    <col min="1800" max="1800" width="10.5703125" style="122" bestFit="1" customWidth="1"/>
    <col min="1801" max="2048" width="9.140625" style="122"/>
    <col min="2049" max="2049" width="4.7109375" style="122" bestFit="1" customWidth="1"/>
    <col min="2050" max="2050" width="50.85546875" style="122" customWidth="1"/>
    <col min="2051" max="2051" width="8.42578125" style="122" customWidth="1"/>
    <col min="2052" max="2053" width="9.28515625" style="122" customWidth="1"/>
    <col min="2054" max="2054" width="13.5703125" style="122" customWidth="1"/>
    <col min="2055" max="2055" width="10.140625" style="122" customWidth="1"/>
    <col min="2056" max="2056" width="10.5703125" style="122" bestFit="1" customWidth="1"/>
    <col min="2057" max="2304" width="9.140625" style="122"/>
    <col min="2305" max="2305" width="4.7109375" style="122" bestFit="1" customWidth="1"/>
    <col min="2306" max="2306" width="50.85546875" style="122" customWidth="1"/>
    <col min="2307" max="2307" width="8.42578125" style="122" customWidth="1"/>
    <col min="2308" max="2309" width="9.28515625" style="122" customWidth="1"/>
    <col min="2310" max="2310" width="13.5703125" style="122" customWidth="1"/>
    <col min="2311" max="2311" width="10.140625" style="122" customWidth="1"/>
    <col min="2312" max="2312" width="10.5703125" style="122" bestFit="1" customWidth="1"/>
    <col min="2313" max="2560" width="9.140625" style="122"/>
    <col min="2561" max="2561" width="4.7109375" style="122" bestFit="1" customWidth="1"/>
    <col min="2562" max="2562" width="50.85546875" style="122" customWidth="1"/>
    <col min="2563" max="2563" width="8.42578125" style="122" customWidth="1"/>
    <col min="2564" max="2565" width="9.28515625" style="122" customWidth="1"/>
    <col min="2566" max="2566" width="13.5703125" style="122" customWidth="1"/>
    <col min="2567" max="2567" width="10.140625" style="122" customWidth="1"/>
    <col min="2568" max="2568" width="10.5703125" style="122" bestFit="1" customWidth="1"/>
    <col min="2569" max="2816" width="9.140625" style="122"/>
    <col min="2817" max="2817" width="4.7109375" style="122" bestFit="1" customWidth="1"/>
    <col min="2818" max="2818" width="50.85546875" style="122" customWidth="1"/>
    <col min="2819" max="2819" width="8.42578125" style="122" customWidth="1"/>
    <col min="2820" max="2821" width="9.28515625" style="122" customWidth="1"/>
    <col min="2822" max="2822" width="13.5703125" style="122" customWidth="1"/>
    <col min="2823" max="2823" width="10.140625" style="122" customWidth="1"/>
    <col min="2824" max="2824" width="10.5703125" style="122" bestFit="1" customWidth="1"/>
    <col min="2825" max="3072" width="9.140625" style="122"/>
    <col min="3073" max="3073" width="4.7109375" style="122" bestFit="1" customWidth="1"/>
    <col min="3074" max="3074" width="50.85546875" style="122" customWidth="1"/>
    <col min="3075" max="3075" width="8.42578125" style="122" customWidth="1"/>
    <col min="3076" max="3077" width="9.28515625" style="122" customWidth="1"/>
    <col min="3078" max="3078" width="13.5703125" style="122" customWidth="1"/>
    <col min="3079" max="3079" width="10.140625" style="122" customWidth="1"/>
    <col min="3080" max="3080" width="10.5703125" style="122" bestFit="1" customWidth="1"/>
    <col min="3081" max="3328" width="9.140625" style="122"/>
    <col min="3329" max="3329" width="4.7109375" style="122" bestFit="1" customWidth="1"/>
    <col min="3330" max="3330" width="50.85546875" style="122" customWidth="1"/>
    <col min="3331" max="3331" width="8.42578125" style="122" customWidth="1"/>
    <col min="3332" max="3333" width="9.28515625" style="122" customWidth="1"/>
    <col min="3334" max="3334" width="13.5703125" style="122" customWidth="1"/>
    <col min="3335" max="3335" width="10.140625" style="122" customWidth="1"/>
    <col min="3336" max="3336" width="10.5703125" style="122" bestFit="1" customWidth="1"/>
    <col min="3337" max="3584" width="9.140625" style="122"/>
    <col min="3585" max="3585" width="4.7109375" style="122" bestFit="1" customWidth="1"/>
    <col min="3586" max="3586" width="50.85546875" style="122" customWidth="1"/>
    <col min="3587" max="3587" width="8.42578125" style="122" customWidth="1"/>
    <col min="3588" max="3589" width="9.28515625" style="122" customWidth="1"/>
    <col min="3590" max="3590" width="13.5703125" style="122" customWidth="1"/>
    <col min="3591" max="3591" width="10.140625" style="122" customWidth="1"/>
    <col min="3592" max="3592" width="10.5703125" style="122" bestFit="1" customWidth="1"/>
    <col min="3593" max="3840" width="9.140625" style="122"/>
    <col min="3841" max="3841" width="4.7109375" style="122" bestFit="1" customWidth="1"/>
    <col min="3842" max="3842" width="50.85546875" style="122" customWidth="1"/>
    <col min="3843" max="3843" width="8.42578125" style="122" customWidth="1"/>
    <col min="3844" max="3845" width="9.28515625" style="122" customWidth="1"/>
    <col min="3846" max="3846" width="13.5703125" style="122" customWidth="1"/>
    <col min="3847" max="3847" width="10.140625" style="122" customWidth="1"/>
    <col min="3848" max="3848" width="10.5703125" style="122" bestFit="1" customWidth="1"/>
    <col min="3849" max="4096" width="9.140625" style="122"/>
    <col min="4097" max="4097" width="4.7109375" style="122" bestFit="1" customWidth="1"/>
    <col min="4098" max="4098" width="50.85546875" style="122" customWidth="1"/>
    <col min="4099" max="4099" width="8.42578125" style="122" customWidth="1"/>
    <col min="4100" max="4101" width="9.28515625" style="122" customWidth="1"/>
    <col min="4102" max="4102" width="13.5703125" style="122" customWidth="1"/>
    <col min="4103" max="4103" width="10.140625" style="122" customWidth="1"/>
    <col min="4104" max="4104" width="10.5703125" style="122" bestFit="1" customWidth="1"/>
    <col min="4105" max="4352" width="9.140625" style="122"/>
    <col min="4353" max="4353" width="4.7109375" style="122" bestFit="1" customWidth="1"/>
    <col min="4354" max="4354" width="50.85546875" style="122" customWidth="1"/>
    <col min="4355" max="4355" width="8.42578125" style="122" customWidth="1"/>
    <col min="4356" max="4357" width="9.28515625" style="122" customWidth="1"/>
    <col min="4358" max="4358" width="13.5703125" style="122" customWidth="1"/>
    <col min="4359" max="4359" width="10.140625" style="122" customWidth="1"/>
    <col min="4360" max="4360" width="10.5703125" style="122" bestFit="1" customWidth="1"/>
    <col min="4361" max="4608" width="9.140625" style="122"/>
    <col min="4609" max="4609" width="4.7109375" style="122" bestFit="1" customWidth="1"/>
    <col min="4610" max="4610" width="50.85546875" style="122" customWidth="1"/>
    <col min="4611" max="4611" width="8.42578125" style="122" customWidth="1"/>
    <col min="4612" max="4613" width="9.28515625" style="122" customWidth="1"/>
    <col min="4614" max="4614" width="13.5703125" style="122" customWidth="1"/>
    <col min="4615" max="4615" width="10.140625" style="122" customWidth="1"/>
    <col min="4616" max="4616" width="10.5703125" style="122" bestFit="1" customWidth="1"/>
    <col min="4617" max="4864" width="9.140625" style="122"/>
    <col min="4865" max="4865" width="4.7109375" style="122" bestFit="1" customWidth="1"/>
    <col min="4866" max="4866" width="50.85546875" style="122" customWidth="1"/>
    <col min="4867" max="4867" width="8.42578125" style="122" customWidth="1"/>
    <col min="4868" max="4869" width="9.28515625" style="122" customWidth="1"/>
    <col min="4870" max="4870" width="13.5703125" style="122" customWidth="1"/>
    <col min="4871" max="4871" width="10.140625" style="122" customWidth="1"/>
    <col min="4872" max="4872" width="10.5703125" style="122" bestFit="1" customWidth="1"/>
    <col min="4873" max="5120" width="9.140625" style="122"/>
    <col min="5121" max="5121" width="4.7109375" style="122" bestFit="1" customWidth="1"/>
    <col min="5122" max="5122" width="50.85546875" style="122" customWidth="1"/>
    <col min="5123" max="5123" width="8.42578125" style="122" customWidth="1"/>
    <col min="5124" max="5125" width="9.28515625" style="122" customWidth="1"/>
    <col min="5126" max="5126" width="13.5703125" style="122" customWidth="1"/>
    <col min="5127" max="5127" width="10.140625" style="122" customWidth="1"/>
    <col min="5128" max="5128" width="10.5703125" style="122" bestFit="1" customWidth="1"/>
    <col min="5129" max="5376" width="9.140625" style="122"/>
    <col min="5377" max="5377" width="4.7109375" style="122" bestFit="1" customWidth="1"/>
    <col min="5378" max="5378" width="50.85546875" style="122" customWidth="1"/>
    <col min="5379" max="5379" width="8.42578125" style="122" customWidth="1"/>
    <col min="5380" max="5381" width="9.28515625" style="122" customWidth="1"/>
    <col min="5382" max="5382" width="13.5703125" style="122" customWidth="1"/>
    <col min="5383" max="5383" width="10.140625" style="122" customWidth="1"/>
    <col min="5384" max="5384" width="10.5703125" style="122" bestFit="1" customWidth="1"/>
    <col min="5385" max="5632" width="9.140625" style="122"/>
    <col min="5633" max="5633" width="4.7109375" style="122" bestFit="1" customWidth="1"/>
    <col min="5634" max="5634" width="50.85546875" style="122" customWidth="1"/>
    <col min="5635" max="5635" width="8.42578125" style="122" customWidth="1"/>
    <col min="5636" max="5637" width="9.28515625" style="122" customWidth="1"/>
    <col min="5638" max="5638" width="13.5703125" style="122" customWidth="1"/>
    <col min="5639" max="5639" width="10.140625" style="122" customWidth="1"/>
    <col min="5640" max="5640" width="10.5703125" style="122" bestFit="1" customWidth="1"/>
    <col min="5641" max="5888" width="9.140625" style="122"/>
    <col min="5889" max="5889" width="4.7109375" style="122" bestFit="1" customWidth="1"/>
    <col min="5890" max="5890" width="50.85546875" style="122" customWidth="1"/>
    <col min="5891" max="5891" width="8.42578125" style="122" customWidth="1"/>
    <col min="5892" max="5893" width="9.28515625" style="122" customWidth="1"/>
    <col min="5894" max="5894" width="13.5703125" style="122" customWidth="1"/>
    <col min="5895" max="5895" width="10.140625" style="122" customWidth="1"/>
    <col min="5896" max="5896" width="10.5703125" style="122" bestFit="1" customWidth="1"/>
    <col min="5897" max="6144" width="9.140625" style="122"/>
    <col min="6145" max="6145" width="4.7109375" style="122" bestFit="1" customWidth="1"/>
    <col min="6146" max="6146" width="50.85546875" style="122" customWidth="1"/>
    <col min="6147" max="6147" width="8.42578125" style="122" customWidth="1"/>
    <col min="6148" max="6149" width="9.28515625" style="122" customWidth="1"/>
    <col min="6150" max="6150" width="13.5703125" style="122" customWidth="1"/>
    <col min="6151" max="6151" width="10.140625" style="122" customWidth="1"/>
    <col min="6152" max="6152" width="10.5703125" style="122" bestFit="1" customWidth="1"/>
    <col min="6153" max="6400" width="9.140625" style="122"/>
    <col min="6401" max="6401" width="4.7109375" style="122" bestFit="1" customWidth="1"/>
    <col min="6402" max="6402" width="50.85546875" style="122" customWidth="1"/>
    <col min="6403" max="6403" width="8.42578125" style="122" customWidth="1"/>
    <col min="6404" max="6405" width="9.28515625" style="122" customWidth="1"/>
    <col min="6406" max="6406" width="13.5703125" style="122" customWidth="1"/>
    <col min="6407" max="6407" width="10.140625" style="122" customWidth="1"/>
    <col min="6408" max="6408" width="10.5703125" style="122" bestFit="1" customWidth="1"/>
    <col min="6409" max="6656" width="9.140625" style="122"/>
    <col min="6657" max="6657" width="4.7109375" style="122" bestFit="1" customWidth="1"/>
    <col min="6658" max="6658" width="50.85546875" style="122" customWidth="1"/>
    <col min="6659" max="6659" width="8.42578125" style="122" customWidth="1"/>
    <col min="6660" max="6661" width="9.28515625" style="122" customWidth="1"/>
    <col min="6662" max="6662" width="13.5703125" style="122" customWidth="1"/>
    <col min="6663" max="6663" width="10.140625" style="122" customWidth="1"/>
    <col min="6664" max="6664" width="10.5703125" style="122" bestFit="1" customWidth="1"/>
    <col min="6665" max="6912" width="9.140625" style="122"/>
    <col min="6913" max="6913" width="4.7109375" style="122" bestFit="1" customWidth="1"/>
    <col min="6914" max="6914" width="50.85546875" style="122" customWidth="1"/>
    <col min="6915" max="6915" width="8.42578125" style="122" customWidth="1"/>
    <col min="6916" max="6917" width="9.28515625" style="122" customWidth="1"/>
    <col min="6918" max="6918" width="13.5703125" style="122" customWidth="1"/>
    <col min="6919" max="6919" width="10.140625" style="122" customWidth="1"/>
    <col min="6920" max="6920" width="10.5703125" style="122" bestFit="1" customWidth="1"/>
    <col min="6921" max="7168" width="9.140625" style="122"/>
    <col min="7169" max="7169" width="4.7109375" style="122" bestFit="1" customWidth="1"/>
    <col min="7170" max="7170" width="50.85546875" style="122" customWidth="1"/>
    <col min="7171" max="7171" width="8.42578125" style="122" customWidth="1"/>
    <col min="7172" max="7173" width="9.28515625" style="122" customWidth="1"/>
    <col min="7174" max="7174" width="13.5703125" style="122" customWidth="1"/>
    <col min="7175" max="7175" width="10.140625" style="122" customWidth="1"/>
    <col min="7176" max="7176" width="10.5703125" style="122" bestFit="1" customWidth="1"/>
    <col min="7177" max="7424" width="9.140625" style="122"/>
    <col min="7425" max="7425" width="4.7109375" style="122" bestFit="1" customWidth="1"/>
    <col min="7426" max="7426" width="50.85546875" style="122" customWidth="1"/>
    <col min="7427" max="7427" width="8.42578125" style="122" customWidth="1"/>
    <col min="7428" max="7429" width="9.28515625" style="122" customWidth="1"/>
    <col min="7430" max="7430" width="13.5703125" style="122" customWidth="1"/>
    <col min="7431" max="7431" width="10.140625" style="122" customWidth="1"/>
    <col min="7432" max="7432" width="10.5703125" style="122" bestFit="1" customWidth="1"/>
    <col min="7433" max="7680" width="9.140625" style="122"/>
    <col min="7681" max="7681" width="4.7109375" style="122" bestFit="1" customWidth="1"/>
    <col min="7682" max="7682" width="50.85546875" style="122" customWidth="1"/>
    <col min="7683" max="7683" width="8.42578125" style="122" customWidth="1"/>
    <col min="7684" max="7685" width="9.28515625" style="122" customWidth="1"/>
    <col min="7686" max="7686" width="13.5703125" style="122" customWidth="1"/>
    <col min="7687" max="7687" width="10.140625" style="122" customWidth="1"/>
    <col min="7688" max="7688" width="10.5703125" style="122" bestFit="1" customWidth="1"/>
    <col min="7689" max="7936" width="9.140625" style="122"/>
    <col min="7937" max="7937" width="4.7109375" style="122" bestFit="1" customWidth="1"/>
    <col min="7938" max="7938" width="50.85546875" style="122" customWidth="1"/>
    <col min="7939" max="7939" width="8.42578125" style="122" customWidth="1"/>
    <col min="7940" max="7941" width="9.28515625" style="122" customWidth="1"/>
    <col min="7942" max="7942" width="13.5703125" style="122" customWidth="1"/>
    <col min="7943" max="7943" width="10.140625" style="122" customWidth="1"/>
    <col min="7944" max="7944" width="10.5703125" style="122" bestFit="1" customWidth="1"/>
    <col min="7945" max="8192" width="9.140625" style="122"/>
    <col min="8193" max="8193" width="4.7109375" style="122" bestFit="1" customWidth="1"/>
    <col min="8194" max="8194" width="50.85546875" style="122" customWidth="1"/>
    <col min="8195" max="8195" width="8.42578125" style="122" customWidth="1"/>
    <col min="8196" max="8197" width="9.28515625" style="122" customWidth="1"/>
    <col min="8198" max="8198" width="13.5703125" style="122" customWidth="1"/>
    <col min="8199" max="8199" width="10.140625" style="122" customWidth="1"/>
    <col min="8200" max="8200" width="10.5703125" style="122" bestFit="1" customWidth="1"/>
    <col min="8201" max="8448" width="9.140625" style="122"/>
    <col min="8449" max="8449" width="4.7109375" style="122" bestFit="1" customWidth="1"/>
    <col min="8450" max="8450" width="50.85546875" style="122" customWidth="1"/>
    <col min="8451" max="8451" width="8.42578125" style="122" customWidth="1"/>
    <col min="8452" max="8453" width="9.28515625" style="122" customWidth="1"/>
    <col min="8454" max="8454" width="13.5703125" style="122" customWidth="1"/>
    <col min="8455" max="8455" width="10.140625" style="122" customWidth="1"/>
    <col min="8456" max="8456" width="10.5703125" style="122" bestFit="1" customWidth="1"/>
    <col min="8457" max="8704" width="9.140625" style="122"/>
    <col min="8705" max="8705" width="4.7109375" style="122" bestFit="1" customWidth="1"/>
    <col min="8706" max="8706" width="50.85546875" style="122" customWidth="1"/>
    <col min="8707" max="8707" width="8.42578125" style="122" customWidth="1"/>
    <col min="8708" max="8709" width="9.28515625" style="122" customWidth="1"/>
    <col min="8710" max="8710" width="13.5703125" style="122" customWidth="1"/>
    <col min="8711" max="8711" width="10.140625" style="122" customWidth="1"/>
    <col min="8712" max="8712" width="10.5703125" style="122" bestFit="1" customWidth="1"/>
    <col min="8713" max="8960" width="9.140625" style="122"/>
    <col min="8961" max="8961" width="4.7109375" style="122" bestFit="1" customWidth="1"/>
    <col min="8962" max="8962" width="50.85546875" style="122" customWidth="1"/>
    <col min="8963" max="8963" width="8.42578125" style="122" customWidth="1"/>
    <col min="8964" max="8965" width="9.28515625" style="122" customWidth="1"/>
    <col min="8966" max="8966" width="13.5703125" style="122" customWidth="1"/>
    <col min="8967" max="8967" width="10.140625" style="122" customWidth="1"/>
    <col min="8968" max="8968" width="10.5703125" style="122" bestFit="1" customWidth="1"/>
    <col min="8969" max="9216" width="9.140625" style="122"/>
    <col min="9217" max="9217" width="4.7109375" style="122" bestFit="1" customWidth="1"/>
    <col min="9218" max="9218" width="50.85546875" style="122" customWidth="1"/>
    <col min="9219" max="9219" width="8.42578125" style="122" customWidth="1"/>
    <col min="9220" max="9221" width="9.28515625" style="122" customWidth="1"/>
    <col min="9222" max="9222" width="13.5703125" style="122" customWidth="1"/>
    <col min="9223" max="9223" width="10.140625" style="122" customWidth="1"/>
    <col min="9224" max="9224" width="10.5703125" style="122" bestFit="1" customWidth="1"/>
    <col min="9225" max="9472" width="9.140625" style="122"/>
    <col min="9473" max="9473" width="4.7109375" style="122" bestFit="1" customWidth="1"/>
    <col min="9474" max="9474" width="50.85546875" style="122" customWidth="1"/>
    <col min="9475" max="9475" width="8.42578125" style="122" customWidth="1"/>
    <col min="9476" max="9477" width="9.28515625" style="122" customWidth="1"/>
    <col min="9478" max="9478" width="13.5703125" style="122" customWidth="1"/>
    <col min="9479" max="9479" width="10.140625" style="122" customWidth="1"/>
    <col min="9480" max="9480" width="10.5703125" style="122" bestFit="1" customWidth="1"/>
    <col min="9481" max="9728" width="9.140625" style="122"/>
    <col min="9729" max="9729" width="4.7109375" style="122" bestFit="1" customWidth="1"/>
    <col min="9730" max="9730" width="50.85546875" style="122" customWidth="1"/>
    <col min="9731" max="9731" width="8.42578125" style="122" customWidth="1"/>
    <col min="9732" max="9733" width="9.28515625" style="122" customWidth="1"/>
    <col min="9734" max="9734" width="13.5703125" style="122" customWidth="1"/>
    <col min="9735" max="9735" width="10.140625" style="122" customWidth="1"/>
    <col min="9736" max="9736" width="10.5703125" style="122" bestFit="1" customWidth="1"/>
    <col min="9737" max="9984" width="9.140625" style="122"/>
    <col min="9985" max="9985" width="4.7109375" style="122" bestFit="1" customWidth="1"/>
    <col min="9986" max="9986" width="50.85546875" style="122" customWidth="1"/>
    <col min="9987" max="9987" width="8.42578125" style="122" customWidth="1"/>
    <col min="9988" max="9989" width="9.28515625" style="122" customWidth="1"/>
    <col min="9990" max="9990" width="13.5703125" style="122" customWidth="1"/>
    <col min="9991" max="9991" width="10.140625" style="122" customWidth="1"/>
    <col min="9992" max="9992" width="10.5703125" style="122" bestFit="1" customWidth="1"/>
    <col min="9993" max="10240" width="9.140625" style="122"/>
    <col min="10241" max="10241" width="4.7109375" style="122" bestFit="1" customWidth="1"/>
    <col min="10242" max="10242" width="50.85546875" style="122" customWidth="1"/>
    <col min="10243" max="10243" width="8.42578125" style="122" customWidth="1"/>
    <col min="10244" max="10245" width="9.28515625" style="122" customWidth="1"/>
    <col min="10246" max="10246" width="13.5703125" style="122" customWidth="1"/>
    <col min="10247" max="10247" width="10.140625" style="122" customWidth="1"/>
    <col min="10248" max="10248" width="10.5703125" style="122" bestFit="1" customWidth="1"/>
    <col min="10249" max="10496" width="9.140625" style="122"/>
    <col min="10497" max="10497" width="4.7109375" style="122" bestFit="1" customWidth="1"/>
    <col min="10498" max="10498" width="50.85546875" style="122" customWidth="1"/>
    <col min="10499" max="10499" width="8.42578125" style="122" customWidth="1"/>
    <col min="10500" max="10501" width="9.28515625" style="122" customWidth="1"/>
    <col min="10502" max="10502" width="13.5703125" style="122" customWidth="1"/>
    <col min="10503" max="10503" width="10.140625" style="122" customWidth="1"/>
    <col min="10504" max="10504" width="10.5703125" style="122" bestFit="1" customWidth="1"/>
    <col min="10505" max="10752" width="9.140625" style="122"/>
    <col min="10753" max="10753" width="4.7109375" style="122" bestFit="1" customWidth="1"/>
    <col min="10754" max="10754" width="50.85546875" style="122" customWidth="1"/>
    <col min="10755" max="10755" width="8.42578125" style="122" customWidth="1"/>
    <col min="10756" max="10757" width="9.28515625" style="122" customWidth="1"/>
    <col min="10758" max="10758" width="13.5703125" style="122" customWidth="1"/>
    <col min="10759" max="10759" width="10.140625" style="122" customWidth="1"/>
    <col min="10760" max="10760" width="10.5703125" style="122" bestFit="1" customWidth="1"/>
    <col min="10761" max="11008" width="9.140625" style="122"/>
    <col min="11009" max="11009" width="4.7109375" style="122" bestFit="1" customWidth="1"/>
    <col min="11010" max="11010" width="50.85546875" style="122" customWidth="1"/>
    <col min="11011" max="11011" width="8.42578125" style="122" customWidth="1"/>
    <col min="11012" max="11013" width="9.28515625" style="122" customWidth="1"/>
    <col min="11014" max="11014" width="13.5703125" style="122" customWidth="1"/>
    <col min="11015" max="11015" width="10.140625" style="122" customWidth="1"/>
    <col min="11016" max="11016" width="10.5703125" style="122" bestFit="1" customWidth="1"/>
    <col min="11017" max="11264" width="9.140625" style="122"/>
    <col min="11265" max="11265" width="4.7109375" style="122" bestFit="1" customWidth="1"/>
    <col min="11266" max="11266" width="50.85546875" style="122" customWidth="1"/>
    <col min="11267" max="11267" width="8.42578125" style="122" customWidth="1"/>
    <col min="11268" max="11269" width="9.28515625" style="122" customWidth="1"/>
    <col min="11270" max="11270" width="13.5703125" style="122" customWidth="1"/>
    <col min="11271" max="11271" width="10.140625" style="122" customWidth="1"/>
    <col min="11272" max="11272" width="10.5703125" style="122" bestFit="1" customWidth="1"/>
    <col min="11273" max="11520" width="9.140625" style="122"/>
    <col min="11521" max="11521" width="4.7109375" style="122" bestFit="1" customWidth="1"/>
    <col min="11522" max="11522" width="50.85546875" style="122" customWidth="1"/>
    <col min="11523" max="11523" width="8.42578125" style="122" customWidth="1"/>
    <col min="11524" max="11525" width="9.28515625" style="122" customWidth="1"/>
    <col min="11526" max="11526" width="13.5703125" style="122" customWidth="1"/>
    <col min="11527" max="11527" width="10.140625" style="122" customWidth="1"/>
    <col min="11528" max="11528" width="10.5703125" style="122" bestFit="1" customWidth="1"/>
    <col min="11529" max="11776" width="9.140625" style="122"/>
    <col min="11777" max="11777" width="4.7109375" style="122" bestFit="1" customWidth="1"/>
    <col min="11778" max="11778" width="50.85546875" style="122" customWidth="1"/>
    <col min="11779" max="11779" width="8.42578125" style="122" customWidth="1"/>
    <col min="11780" max="11781" width="9.28515625" style="122" customWidth="1"/>
    <col min="11782" max="11782" width="13.5703125" style="122" customWidth="1"/>
    <col min="11783" max="11783" width="10.140625" style="122" customWidth="1"/>
    <col min="11784" max="11784" width="10.5703125" style="122" bestFit="1" customWidth="1"/>
    <col min="11785" max="12032" width="9.140625" style="122"/>
    <col min="12033" max="12033" width="4.7109375" style="122" bestFit="1" customWidth="1"/>
    <col min="12034" max="12034" width="50.85546875" style="122" customWidth="1"/>
    <col min="12035" max="12035" width="8.42578125" style="122" customWidth="1"/>
    <col min="12036" max="12037" width="9.28515625" style="122" customWidth="1"/>
    <col min="12038" max="12038" width="13.5703125" style="122" customWidth="1"/>
    <col min="12039" max="12039" width="10.140625" style="122" customWidth="1"/>
    <col min="12040" max="12040" width="10.5703125" style="122" bestFit="1" customWidth="1"/>
    <col min="12041" max="12288" width="9.140625" style="122"/>
    <col min="12289" max="12289" width="4.7109375" style="122" bestFit="1" customWidth="1"/>
    <col min="12290" max="12290" width="50.85546875" style="122" customWidth="1"/>
    <col min="12291" max="12291" width="8.42578125" style="122" customWidth="1"/>
    <col min="12292" max="12293" width="9.28515625" style="122" customWidth="1"/>
    <col min="12294" max="12294" width="13.5703125" style="122" customWidth="1"/>
    <col min="12295" max="12295" width="10.140625" style="122" customWidth="1"/>
    <col min="12296" max="12296" width="10.5703125" style="122" bestFit="1" customWidth="1"/>
    <col min="12297" max="12544" width="9.140625" style="122"/>
    <col min="12545" max="12545" width="4.7109375" style="122" bestFit="1" customWidth="1"/>
    <col min="12546" max="12546" width="50.85546875" style="122" customWidth="1"/>
    <col min="12547" max="12547" width="8.42578125" style="122" customWidth="1"/>
    <col min="12548" max="12549" width="9.28515625" style="122" customWidth="1"/>
    <col min="12550" max="12550" width="13.5703125" style="122" customWidth="1"/>
    <col min="12551" max="12551" width="10.140625" style="122" customWidth="1"/>
    <col min="12552" max="12552" width="10.5703125" style="122" bestFit="1" customWidth="1"/>
    <col min="12553" max="12800" width="9.140625" style="122"/>
    <col min="12801" max="12801" width="4.7109375" style="122" bestFit="1" customWidth="1"/>
    <col min="12802" max="12802" width="50.85546875" style="122" customWidth="1"/>
    <col min="12803" max="12803" width="8.42578125" style="122" customWidth="1"/>
    <col min="12804" max="12805" width="9.28515625" style="122" customWidth="1"/>
    <col min="12806" max="12806" width="13.5703125" style="122" customWidth="1"/>
    <col min="12807" max="12807" width="10.140625" style="122" customWidth="1"/>
    <col min="12808" max="12808" width="10.5703125" style="122" bestFit="1" customWidth="1"/>
    <col min="12809" max="13056" width="9.140625" style="122"/>
    <col min="13057" max="13057" width="4.7109375" style="122" bestFit="1" customWidth="1"/>
    <col min="13058" max="13058" width="50.85546875" style="122" customWidth="1"/>
    <col min="13059" max="13059" width="8.42578125" style="122" customWidth="1"/>
    <col min="13060" max="13061" width="9.28515625" style="122" customWidth="1"/>
    <col min="13062" max="13062" width="13.5703125" style="122" customWidth="1"/>
    <col min="13063" max="13063" width="10.140625" style="122" customWidth="1"/>
    <col min="13064" max="13064" width="10.5703125" style="122" bestFit="1" customWidth="1"/>
    <col min="13065" max="13312" width="9.140625" style="122"/>
    <col min="13313" max="13313" width="4.7109375" style="122" bestFit="1" customWidth="1"/>
    <col min="13314" max="13314" width="50.85546875" style="122" customWidth="1"/>
    <col min="13315" max="13315" width="8.42578125" style="122" customWidth="1"/>
    <col min="13316" max="13317" width="9.28515625" style="122" customWidth="1"/>
    <col min="13318" max="13318" width="13.5703125" style="122" customWidth="1"/>
    <col min="13319" max="13319" width="10.140625" style="122" customWidth="1"/>
    <col min="13320" max="13320" width="10.5703125" style="122" bestFit="1" customWidth="1"/>
    <col min="13321" max="13568" width="9.140625" style="122"/>
    <col min="13569" max="13569" width="4.7109375" style="122" bestFit="1" customWidth="1"/>
    <col min="13570" max="13570" width="50.85546875" style="122" customWidth="1"/>
    <col min="13571" max="13571" width="8.42578125" style="122" customWidth="1"/>
    <col min="13572" max="13573" width="9.28515625" style="122" customWidth="1"/>
    <col min="13574" max="13574" width="13.5703125" style="122" customWidth="1"/>
    <col min="13575" max="13575" width="10.140625" style="122" customWidth="1"/>
    <col min="13576" max="13576" width="10.5703125" style="122" bestFit="1" customWidth="1"/>
    <col min="13577" max="13824" width="9.140625" style="122"/>
    <col min="13825" max="13825" width="4.7109375" style="122" bestFit="1" customWidth="1"/>
    <col min="13826" max="13826" width="50.85546875" style="122" customWidth="1"/>
    <col min="13827" max="13827" width="8.42578125" style="122" customWidth="1"/>
    <col min="13828" max="13829" width="9.28515625" style="122" customWidth="1"/>
    <col min="13830" max="13830" width="13.5703125" style="122" customWidth="1"/>
    <col min="13831" max="13831" width="10.140625" style="122" customWidth="1"/>
    <col min="13832" max="13832" width="10.5703125" style="122" bestFit="1" customWidth="1"/>
    <col min="13833" max="14080" width="9.140625" style="122"/>
    <col min="14081" max="14081" width="4.7109375" style="122" bestFit="1" customWidth="1"/>
    <col min="14082" max="14082" width="50.85546875" style="122" customWidth="1"/>
    <col min="14083" max="14083" width="8.42578125" style="122" customWidth="1"/>
    <col min="14084" max="14085" width="9.28515625" style="122" customWidth="1"/>
    <col min="14086" max="14086" width="13.5703125" style="122" customWidth="1"/>
    <col min="14087" max="14087" width="10.140625" style="122" customWidth="1"/>
    <col min="14088" max="14088" width="10.5703125" style="122" bestFit="1" customWidth="1"/>
    <col min="14089" max="14336" width="9.140625" style="122"/>
    <col min="14337" max="14337" width="4.7109375" style="122" bestFit="1" customWidth="1"/>
    <col min="14338" max="14338" width="50.85546875" style="122" customWidth="1"/>
    <col min="14339" max="14339" width="8.42578125" style="122" customWidth="1"/>
    <col min="14340" max="14341" width="9.28515625" style="122" customWidth="1"/>
    <col min="14342" max="14342" width="13.5703125" style="122" customWidth="1"/>
    <col min="14343" max="14343" width="10.140625" style="122" customWidth="1"/>
    <col min="14344" max="14344" width="10.5703125" style="122" bestFit="1" customWidth="1"/>
    <col min="14345" max="14592" width="9.140625" style="122"/>
    <col min="14593" max="14593" width="4.7109375" style="122" bestFit="1" customWidth="1"/>
    <col min="14594" max="14594" width="50.85546875" style="122" customWidth="1"/>
    <col min="14595" max="14595" width="8.42578125" style="122" customWidth="1"/>
    <col min="14596" max="14597" width="9.28515625" style="122" customWidth="1"/>
    <col min="14598" max="14598" width="13.5703125" style="122" customWidth="1"/>
    <col min="14599" max="14599" width="10.140625" style="122" customWidth="1"/>
    <col min="14600" max="14600" width="10.5703125" style="122" bestFit="1" customWidth="1"/>
    <col min="14601" max="14848" width="9.140625" style="122"/>
    <col min="14849" max="14849" width="4.7109375" style="122" bestFit="1" customWidth="1"/>
    <col min="14850" max="14850" width="50.85546875" style="122" customWidth="1"/>
    <col min="14851" max="14851" width="8.42578125" style="122" customWidth="1"/>
    <col min="14852" max="14853" width="9.28515625" style="122" customWidth="1"/>
    <col min="14854" max="14854" width="13.5703125" style="122" customWidth="1"/>
    <col min="14855" max="14855" width="10.140625" style="122" customWidth="1"/>
    <col min="14856" max="14856" width="10.5703125" style="122" bestFit="1" customWidth="1"/>
    <col min="14857" max="15104" width="9.140625" style="122"/>
    <col min="15105" max="15105" width="4.7109375" style="122" bestFit="1" customWidth="1"/>
    <col min="15106" max="15106" width="50.85546875" style="122" customWidth="1"/>
    <col min="15107" max="15107" width="8.42578125" style="122" customWidth="1"/>
    <col min="15108" max="15109" width="9.28515625" style="122" customWidth="1"/>
    <col min="15110" max="15110" width="13.5703125" style="122" customWidth="1"/>
    <col min="15111" max="15111" width="10.140625" style="122" customWidth="1"/>
    <col min="15112" max="15112" width="10.5703125" style="122" bestFit="1" customWidth="1"/>
    <col min="15113" max="15360" width="9.140625" style="122"/>
    <col min="15361" max="15361" width="4.7109375" style="122" bestFit="1" customWidth="1"/>
    <col min="15362" max="15362" width="50.85546875" style="122" customWidth="1"/>
    <col min="15363" max="15363" width="8.42578125" style="122" customWidth="1"/>
    <col min="15364" max="15365" width="9.28515625" style="122" customWidth="1"/>
    <col min="15366" max="15366" width="13.5703125" style="122" customWidth="1"/>
    <col min="15367" max="15367" width="10.140625" style="122" customWidth="1"/>
    <col min="15368" max="15368" width="10.5703125" style="122" bestFit="1" customWidth="1"/>
    <col min="15369" max="15616" width="9.140625" style="122"/>
    <col min="15617" max="15617" width="4.7109375" style="122" bestFit="1" customWidth="1"/>
    <col min="15618" max="15618" width="50.85546875" style="122" customWidth="1"/>
    <col min="15619" max="15619" width="8.42578125" style="122" customWidth="1"/>
    <col min="15620" max="15621" width="9.28515625" style="122" customWidth="1"/>
    <col min="15622" max="15622" width="13.5703125" style="122" customWidth="1"/>
    <col min="15623" max="15623" width="10.140625" style="122" customWidth="1"/>
    <col min="15624" max="15624" width="10.5703125" style="122" bestFit="1" customWidth="1"/>
    <col min="15625" max="15872" width="9.140625" style="122"/>
    <col min="15873" max="15873" width="4.7109375" style="122" bestFit="1" customWidth="1"/>
    <col min="15874" max="15874" width="50.85546875" style="122" customWidth="1"/>
    <col min="15875" max="15875" width="8.42578125" style="122" customWidth="1"/>
    <col min="15876" max="15877" width="9.28515625" style="122" customWidth="1"/>
    <col min="15878" max="15878" width="13.5703125" style="122" customWidth="1"/>
    <col min="15879" max="15879" width="10.140625" style="122" customWidth="1"/>
    <col min="15880" max="15880" width="10.5703125" style="122" bestFit="1" customWidth="1"/>
    <col min="15881" max="16128" width="9.140625" style="122"/>
    <col min="16129" max="16129" width="4.7109375" style="122" bestFit="1" customWidth="1"/>
    <col min="16130" max="16130" width="50.85546875" style="122" customWidth="1"/>
    <col min="16131" max="16131" width="8.42578125" style="122" customWidth="1"/>
    <col min="16132" max="16133" width="9.28515625" style="122" customWidth="1"/>
    <col min="16134" max="16134" width="13.5703125" style="122" customWidth="1"/>
    <col min="16135" max="16135" width="10.140625" style="122" customWidth="1"/>
    <col min="16136" max="16136" width="10.5703125" style="122" bestFit="1" customWidth="1"/>
    <col min="16137" max="16384" width="9.140625" style="122"/>
  </cols>
  <sheetData>
    <row r="1" spans="1:8" ht="15" x14ac:dyDescent="0.2">
      <c r="A1" s="406" t="s">
        <v>291</v>
      </c>
      <c r="B1" s="406"/>
      <c r="C1" s="406"/>
      <c r="D1" s="406"/>
      <c r="E1" s="406"/>
      <c r="F1" s="406"/>
    </row>
    <row r="2" spans="1:8" x14ac:dyDescent="0.2">
      <c r="A2" s="408"/>
      <c r="B2" s="408"/>
      <c r="C2" s="408"/>
      <c r="D2" s="408"/>
      <c r="E2" s="408"/>
      <c r="F2" s="408"/>
    </row>
    <row r="3" spans="1:8" ht="18.75" customHeight="1" x14ac:dyDescent="0.2">
      <c r="A3" s="407" t="s">
        <v>292</v>
      </c>
      <c r="B3" s="407"/>
      <c r="C3" s="407"/>
      <c r="D3" s="407"/>
      <c r="E3" s="407"/>
      <c r="F3" s="407"/>
    </row>
    <row r="4" spans="1:8" s="124" customFormat="1" ht="27" customHeight="1" x14ac:dyDescent="0.2">
      <c r="A4" s="123" t="s">
        <v>91</v>
      </c>
      <c r="B4" s="123" t="s">
        <v>233</v>
      </c>
      <c r="C4" s="123" t="s">
        <v>234</v>
      </c>
      <c r="D4" s="123" t="s">
        <v>235</v>
      </c>
      <c r="E4" s="128" t="s">
        <v>176</v>
      </c>
      <c r="F4" s="123" t="s">
        <v>236</v>
      </c>
    </row>
    <row r="5" spans="1:8" s="1" customFormat="1" ht="153" x14ac:dyDescent="0.25">
      <c r="A5" s="125">
        <v>16</v>
      </c>
      <c r="B5" s="168" t="s">
        <v>293</v>
      </c>
      <c r="C5" s="125" t="s">
        <v>238</v>
      </c>
      <c r="D5" s="125">
        <v>1</v>
      </c>
      <c r="E5" s="129">
        <v>400</v>
      </c>
      <c r="F5" s="126">
        <f t="shared" ref="F5:F12" si="0">D5*E5/60</f>
        <v>6.666666666666667</v>
      </c>
      <c r="H5" s="130"/>
    </row>
    <row r="6" spans="1:8" s="1" customFormat="1" ht="45" x14ac:dyDescent="0.25">
      <c r="A6" s="125">
        <v>17</v>
      </c>
      <c r="B6" s="168" t="s">
        <v>295</v>
      </c>
      <c r="C6" s="125" t="s">
        <v>296</v>
      </c>
      <c r="D6" s="125">
        <v>2</v>
      </c>
      <c r="E6" s="129">
        <v>100</v>
      </c>
      <c r="F6" s="126">
        <f t="shared" si="0"/>
        <v>3.3333333333333335</v>
      </c>
    </row>
    <row r="7" spans="1:8" s="1" customFormat="1" ht="36" x14ac:dyDescent="0.25">
      <c r="A7" s="125">
        <v>18</v>
      </c>
      <c r="B7" s="168" t="s">
        <v>297</v>
      </c>
      <c r="C7" s="125" t="s">
        <v>260</v>
      </c>
      <c r="D7" s="125">
        <v>2</v>
      </c>
      <c r="E7" s="129">
        <v>350</v>
      </c>
      <c r="F7" s="126">
        <f t="shared" si="0"/>
        <v>11.666666666666666</v>
      </c>
    </row>
    <row r="8" spans="1:8" s="1" customFormat="1" ht="63" x14ac:dyDescent="0.25">
      <c r="A8" s="131">
        <v>19</v>
      </c>
      <c r="B8" s="168" t="s">
        <v>298</v>
      </c>
      <c r="C8" s="131" t="s">
        <v>294</v>
      </c>
      <c r="D8" s="131">
        <v>1</v>
      </c>
      <c r="E8" s="132">
        <v>250</v>
      </c>
      <c r="F8" s="133">
        <f t="shared" si="0"/>
        <v>4.166666666666667</v>
      </c>
    </row>
    <row r="9" spans="1:8" s="1" customFormat="1" ht="27.75" customHeight="1" x14ac:dyDescent="0.25">
      <c r="A9" s="134">
        <v>20</v>
      </c>
      <c r="B9" s="169" t="s">
        <v>299</v>
      </c>
      <c r="C9" s="134" t="s">
        <v>294</v>
      </c>
      <c r="D9" s="134">
        <v>6</v>
      </c>
      <c r="E9" s="135">
        <v>15</v>
      </c>
      <c r="F9" s="136">
        <f t="shared" si="0"/>
        <v>1.5</v>
      </c>
    </row>
    <row r="10" spans="1:8" s="1" customFormat="1" ht="15" customHeight="1" x14ac:dyDescent="0.25">
      <c r="A10" s="134">
        <v>21</v>
      </c>
      <c r="B10" s="169" t="s">
        <v>300</v>
      </c>
      <c r="C10" s="134" t="s">
        <v>238</v>
      </c>
      <c r="D10" s="134">
        <v>4</v>
      </c>
      <c r="E10" s="135">
        <v>100</v>
      </c>
      <c r="F10" s="136">
        <f t="shared" si="0"/>
        <v>6.666666666666667</v>
      </c>
    </row>
    <row r="11" spans="1:8" s="1" customFormat="1" x14ac:dyDescent="0.25">
      <c r="A11" s="134">
        <v>22</v>
      </c>
      <c r="B11" s="169" t="s">
        <v>301</v>
      </c>
      <c r="C11" s="134" t="s">
        <v>238</v>
      </c>
      <c r="D11" s="134">
        <v>1</v>
      </c>
      <c r="E11" s="135">
        <v>150</v>
      </c>
      <c r="F11" s="136">
        <f>D11*E11/60</f>
        <v>2.5</v>
      </c>
    </row>
    <row r="12" spans="1:8" s="1" customFormat="1" ht="18" customHeight="1" x14ac:dyDescent="0.25">
      <c r="A12" s="137">
        <v>23</v>
      </c>
      <c r="B12" s="170" t="s">
        <v>302</v>
      </c>
      <c r="C12" s="137" t="s">
        <v>238</v>
      </c>
      <c r="D12" s="137">
        <v>1</v>
      </c>
      <c r="E12" s="138">
        <v>150</v>
      </c>
      <c r="F12" s="139">
        <f t="shared" si="0"/>
        <v>2.5</v>
      </c>
    </row>
    <row r="13" spans="1:8" ht="26.25" customHeight="1" x14ac:dyDescent="0.2">
      <c r="A13" s="413" t="s">
        <v>303</v>
      </c>
      <c r="B13" s="414"/>
      <c r="C13" s="414"/>
      <c r="D13" s="414"/>
      <c r="E13" s="415"/>
      <c r="F13" s="127">
        <f>SUM(F5:F12)</f>
        <v>39</v>
      </c>
    </row>
    <row r="14" spans="1:8" ht="26.25" customHeight="1" x14ac:dyDescent="0.2">
      <c r="A14" s="413" t="s">
        <v>308</v>
      </c>
      <c r="B14" s="414"/>
      <c r="C14" s="414"/>
      <c r="D14" s="414"/>
      <c r="E14" s="415"/>
      <c r="F14" s="127">
        <f>F13/28*6</f>
        <v>8.3571428571428577</v>
      </c>
    </row>
    <row r="16" spans="1:8" ht="27.75" customHeight="1" x14ac:dyDescent="0.2">
      <c r="A16" s="412" t="s">
        <v>304</v>
      </c>
      <c r="B16" s="412"/>
      <c r="C16" s="412"/>
      <c r="D16" s="412"/>
      <c r="E16" s="412"/>
      <c r="F16" s="412"/>
    </row>
    <row r="17" spans="1:6" x14ac:dyDescent="0.2">
      <c r="A17" s="416"/>
      <c r="B17" s="416"/>
      <c r="C17" s="416"/>
      <c r="D17" s="416"/>
      <c r="E17" s="416"/>
      <c r="F17" s="416"/>
    </row>
    <row r="18" spans="1:6" x14ac:dyDescent="0.2">
      <c r="A18" s="413" t="s">
        <v>305</v>
      </c>
      <c r="B18" s="414"/>
      <c r="C18" s="414"/>
      <c r="D18" s="414"/>
      <c r="E18" s="414"/>
      <c r="F18" s="415"/>
    </row>
    <row r="19" spans="1:6" ht="16.5" x14ac:dyDescent="0.2">
      <c r="A19" s="123" t="s">
        <v>91</v>
      </c>
      <c r="B19" s="123" t="s">
        <v>233</v>
      </c>
      <c r="C19" s="123" t="s">
        <v>234</v>
      </c>
      <c r="D19" s="123" t="s">
        <v>235</v>
      </c>
      <c r="E19" s="128" t="s">
        <v>176</v>
      </c>
      <c r="F19" s="123" t="s">
        <v>236</v>
      </c>
    </row>
    <row r="20" spans="1:6" ht="27" x14ac:dyDescent="0.2">
      <c r="A20" s="125">
        <v>24</v>
      </c>
      <c r="B20" s="168" t="s">
        <v>427</v>
      </c>
      <c r="C20" s="125" t="s">
        <v>238</v>
      </c>
      <c r="D20" s="125">
        <v>1</v>
      </c>
      <c r="E20" s="129">
        <v>250</v>
      </c>
      <c r="F20" s="126">
        <f>D20*E20/60</f>
        <v>4.166666666666667</v>
      </c>
    </row>
    <row r="21" spans="1:6" ht="26.25" customHeight="1" x14ac:dyDescent="0.2">
      <c r="A21" s="413" t="s">
        <v>420</v>
      </c>
      <c r="B21" s="414"/>
      <c r="C21" s="414"/>
      <c r="D21" s="414"/>
      <c r="E21" s="415"/>
      <c r="F21" s="127">
        <f>SUM(F20:F20)</f>
        <v>4.166666666666667</v>
      </c>
    </row>
    <row r="22" spans="1:6" ht="26.25" customHeight="1" x14ac:dyDescent="0.2">
      <c r="A22" s="413" t="s">
        <v>428</v>
      </c>
      <c r="B22" s="414"/>
      <c r="C22" s="414"/>
      <c r="D22" s="414"/>
      <c r="E22" s="415"/>
      <c r="F22" s="127">
        <f>SUM(F20:F20)*6/28</f>
        <v>0.8928571428571429</v>
      </c>
    </row>
    <row r="23" spans="1:6" s="142" customFormat="1" ht="26.25" customHeight="1" x14ac:dyDescent="0.2">
      <c r="A23" s="140"/>
      <c r="B23" s="140"/>
      <c r="C23" s="140"/>
      <c r="D23" s="140"/>
      <c r="E23" s="140"/>
      <c r="F23" s="141"/>
    </row>
    <row r="24" spans="1:6" ht="27.75" customHeight="1" x14ac:dyDescent="0.2">
      <c r="A24" s="412" t="s">
        <v>307</v>
      </c>
      <c r="B24" s="412"/>
      <c r="C24" s="412"/>
      <c r="D24" s="412"/>
      <c r="E24" s="412"/>
      <c r="F24" s="412"/>
    </row>
    <row r="25" spans="1:6" x14ac:dyDescent="0.2">
      <c r="A25" s="416"/>
      <c r="B25" s="416"/>
      <c r="C25" s="416"/>
      <c r="D25" s="416"/>
      <c r="E25" s="416"/>
      <c r="F25" s="416"/>
    </row>
    <row r="26" spans="1:6" x14ac:dyDescent="0.2">
      <c r="A26" s="413" t="s">
        <v>307</v>
      </c>
      <c r="B26" s="414"/>
      <c r="C26" s="414"/>
      <c r="D26" s="414"/>
      <c r="E26" s="414"/>
      <c r="F26" s="415"/>
    </row>
    <row r="27" spans="1:6" ht="16.5" x14ac:dyDescent="0.2">
      <c r="A27" s="123" t="s">
        <v>91</v>
      </c>
      <c r="B27" s="123" t="s">
        <v>233</v>
      </c>
      <c r="C27" s="123" t="s">
        <v>234</v>
      </c>
      <c r="D27" s="123" t="s">
        <v>235</v>
      </c>
      <c r="E27" s="128" t="s">
        <v>176</v>
      </c>
      <c r="F27" s="123" t="s">
        <v>236</v>
      </c>
    </row>
    <row r="28" spans="1:6" s="142" customFormat="1" ht="48" customHeight="1" x14ac:dyDescent="0.2">
      <c r="A28" s="157">
        <v>25</v>
      </c>
      <c r="B28" s="171" t="s">
        <v>306</v>
      </c>
      <c r="C28" s="157" t="s">
        <v>238</v>
      </c>
      <c r="D28" s="157">
        <v>1</v>
      </c>
      <c r="E28" s="158">
        <v>99</v>
      </c>
      <c r="F28" s="159">
        <f>D28*E28/60</f>
        <v>1.65</v>
      </c>
    </row>
    <row r="29" spans="1:6" ht="26.25" customHeight="1" x14ac:dyDescent="0.2">
      <c r="A29" s="413" t="s">
        <v>308</v>
      </c>
      <c r="B29" s="414"/>
      <c r="C29" s="414"/>
      <c r="D29" s="414"/>
      <c r="E29" s="415"/>
      <c r="F29" s="127">
        <f>SUM(F28:F28)*6/28</f>
        <v>0.35357142857142854</v>
      </c>
    </row>
    <row r="31" spans="1:6" x14ac:dyDescent="0.2">
      <c r="F31" s="184">
        <f>F29+F22/2+F14</f>
        <v>9.1571428571428584</v>
      </c>
    </row>
  </sheetData>
  <sheetProtection selectLockedCells="1" selectUnlockedCells="1"/>
  <mergeCells count="14">
    <mergeCell ref="A29:E29"/>
    <mergeCell ref="A17:F17"/>
    <mergeCell ref="A18:F18"/>
    <mergeCell ref="A22:E22"/>
    <mergeCell ref="A24:F24"/>
    <mergeCell ref="A25:F25"/>
    <mergeCell ref="A26:F26"/>
    <mergeCell ref="A21:E21"/>
    <mergeCell ref="A16:F16"/>
    <mergeCell ref="A1:F1"/>
    <mergeCell ref="A2:F2"/>
    <mergeCell ref="A3:F3"/>
    <mergeCell ref="A13:E13"/>
    <mergeCell ref="A14:E14"/>
  </mergeCells>
  <pageMargins left="0.74803149606299213" right="0.43307086614173229" top="0.98425196850393704" bottom="0.98425196850393704" header="0.51181102362204722" footer="0.51181102362204722"/>
  <pageSetup paperSize="9" scale="94" firstPageNumber="0" orientation="portrait" horizontalDpi="300" verticalDpi="300" r:id="rId1"/>
  <headerFooter alignWithMargins="0">
    <oddHeader>&amp;L&amp;"Times New Roman,Negrito"&amp;8MPS MINISTÉRIO DA PREVIDÊNCIA SOCIAL
INSS - Instituto Nacional do Seguro Social
CGEPI Divisão de Manutenção e Engenharia de Avaliação</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31"/>
  <sheetViews>
    <sheetView topLeftCell="A25" zoomScaleNormal="100" zoomScaleSheetLayoutView="130" workbookViewId="0">
      <selection activeCell="F31" sqref="F31"/>
    </sheetView>
  </sheetViews>
  <sheetFormatPr defaultRowHeight="12.75" x14ac:dyDescent="0.2"/>
  <cols>
    <col min="1" max="1" width="4.7109375" style="122" bestFit="1" customWidth="1"/>
    <col min="2" max="2" width="44.140625" style="124" customWidth="1"/>
    <col min="3" max="3" width="7.5703125" style="122" bestFit="1" customWidth="1"/>
    <col min="4" max="4" width="9.85546875" style="122" customWidth="1"/>
    <col min="5" max="5" width="8.140625" style="122" bestFit="1" customWidth="1"/>
    <col min="6" max="6" width="7.28515625" style="122" bestFit="1" customWidth="1"/>
    <col min="7" max="7" width="11.28515625" style="122" customWidth="1"/>
    <col min="8" max="256" width="9.140625" style="122"/>
    <col min="257" max="257" width="4.7109375" style="122" bestFit="1" customWidth="1"/>
    <col min="258" max="258" width="44.140625" style="122" customWidth="1"/>
    <col min="259" max="259" width="7.5703125" style="122" bestFit="1" customWidth="1"/>
    <col min="260" max="260" width="9.85546875" style="122" customWidth="1"/>
    <col min="261" max="261" width="8.140625" style="122" bestFit="1" customWidth="1"/>
    <col min="262" max="262" width="7.28515625" style="122" bestFit="1" customWidth="1"/>
    <col min="263" max="263" width="11.28515625" style="122" customWidth="1"/>
    <col min="264" max="512" width="9.140625" style="122"/>
    <col min="513" max="513" width="4.7109375" style="122" bestFit="1" customWidth="1"/>
    <col min="514" max="514" width="44.140625" style="122" customWidth="1"/>
    <col min="515" max="515" width="7.5703125" style="122" bestFit="1" customWidth="1"/>
    <col min="516" max="516" width="9.85546875" style="122" customWidth="1"/>
    <col min="517" max="517" width="8.140625" style="122" bestFit="1" customWidth="1"/>
    <col min="518" max="518" width="7.28515625" style="122" bestFit="1" customWidth="1"/>
    <col min="519" max="519" width="11.28515625" style="122" customWidth="1"/>
    <col min="520" max="768" width="9.140625" style="122"/>
    <col min="769" max="769" width="4.7109375" style="122" bestFit="1" customWidth="1"/>
    <col min="770" max="770" width="44.140625" style="122" customWidth="1"/>
    <col min="771" max="771" width="7.5703125" style="122" bestFit="1" customWidth="1"/>
    <col min="772" max="772" width="9.85546875" style="122" customWidth="1"/>
    <col min="773" max="773" width="8.140625" style="122" bestFit="1" customWidth="1"/>
    <col min="774" max="774" width="7.28515625" style="122" bestFit="1" customWidth="1"/>
    <col min="775" max="775" width="11.28515625" style="122" customWidth="1"/>
    <col min="776" max="1024" width="9.140625" style="122"/>
    <col min="1025" max="1025" width="4.7109375" style="122" bestFit="1" customWidth="1"/>
    <col min="1026" max="1026" width="44.140625" style="122" customWidth="1"/>
    <col min="1027" max="1027" width="7.5703125" style="122" bestFit="1" customWidth="1"/>
    <col min="1028" max="1028" width="9.85546875" style="122" customWidth="1"/>
    <col min="1029" max="1029" width="8.140625" style="122" bestFit="1" customWidth="1"/>
    <col min="1030" max="1030" width="7.28515625" style="122" bestFit="1" customWidth="1"/>
    <col min="1031" max="1031" width="11.28515625" style="122" customWidth="1"/>
    <col min="1032" max="1280" width="9.140625" style="122"/>
    <col min="1281" max="1281" width="4.7109375" style="122" bestFit="1" customWidth="1"/>
    <col min="1282" max="1282" width="44.140625" style="122" customWidth="1"/>
    <col min="1283" max="1283" width="7.5703125" style="122" bestFit="1" customWidth="1"/>
    <col min="1284" max="1284" width="9.85546875" style="122" customWidth="1"/>
    <col min="1285" max="1285" width="8.140625" style="122" bestFit="1" customWidth="1"/>
    <col min="1286" max="1286" width="7.28515625" style="122" bestFit="1" customWidth="1"/>
    <col min="1287" max="1287" width="11.28515625" style="122" customWidth="1"/>
    <col min="1288" max="1536" width="9.140625" style="122"/>
    <col min="1537" max="1537" width="4.7109375" style="122" bestFit="1" customWidth="1"/>
    <col min="1538" max="1538" width="44.140625" style="122" customWidth="1"/>
    <col min="1539" max="1539" width="7.5703125" style="122" bestFit="1" customWidth="1"/>
    <col min="1540" max="1540" width="9.85546875" style="122" customWidth="1"/>
    <col min="1541" max="1541" width="8.140625" style="122" bestFit="1" customWidth="1"/>
    <col min="1542" max="1542" width="7.28515625" style="122" bestFit="1" customWidth="1"/>
    <col min="1543" max="1543" width="11.28515625" style="122" customWidth="1"/>
    <col min="1544" max="1792" width="9.140625" style="122"/>
    <col min="1793" max="1793" width="4.7109375" style="122" bestFit="1" customWidth="1"/>
    <col min="1794" max="1794" width="44.140625" style="122" customWidth="1"/>
    <col min="1795" max="1795" width="7.5703125" style="122" bestFit="1" customWidth="1"/>
    <col min="1796" max="1796" width="9.85546875" style="122" customWidth="1"/>
    <col min="1797" max="1797" width="8.140625" style="122" bestFit="1" customWidth="1"/>
    <col min="1798" max="1798" width="7.28515625" style="122" bestFit="1" customWidth="1"/>
    <col min="1799" max="1799" width="11.28515625" style="122" customWidth="1"/>
    <col min="1800" max="2048" width="9.140625" style="122"/>
    <col min="2049" max="2049" width="4.7109375" style="122" bestFit="1" customWidth="1"/>
    <col min="2050" max="2050" width="44.140625" style="122" customWidth="1"/>
    <col min="2051" max="2051" width="7.5703125" style="122" bestFit="1" customWidth="1"/>
    <col min="2052" max="2052" width="9.85546875" style="122" customWidth="1"/>
    <col min="2053" max="2053" width="8.140625" style="122" bestFit="1" customWidth="1"/>
    <col min="2054" max="2054" width="7.28515625" style="122" bestFit="1" customWidth="1"/>
    <col min="2055" max="2055" width="11.28515625" style="122" customWidth="1"/>
    <col min="2056" max="2304" width="9.140625" style="122"/>
    <col min="2305" max="2305" width="4.7109375" style="122" bestFit="1" customWidth="1"/>
    <col min="2306" max="2306" width="44.140625" style="122" customWidth="1"/>
    <col min="2307" max="2307" width="7.5703125" style="122" bestFit="1" customWidth="1"/>
    <col min="2308" max="2308" width="9.85546875" style="122" customWidth="1"/>
    <col min="2309" max="2309" width="8.140625" style="122" bestFit="1" customWidth="1"/>
    <col min="2310" max="2310" width="7.28515625" style="122" bestFit="1" customWidth="1"/>
    <col min="2311" max="2311" width="11.28515625" style="122" customWidth="1"/>
    <col min="2312" max="2560" width="9.140625" style="122"/>
    <col min="2561" max="2561" width="4.7109375" style="122" bestFit="1" customWidth="1"/>
    <col min="2562" max="2562" width="44.140625" style="122" customWidth="1"/>
    <col min="2563" max="2563" width="7.5703125" style="122" bestFit="1" customWidth="1"/>
    <col min="2564" max="2564" width="9.85546875" style="122" customWidth="1"/>
    <col min="2565" max="2565" width="8.140625" style="122" bestFit="1" customWidth="1"/>
    <col min="2566" max="2566" width="7.28515625" style="122" bestFit="1" customWidth="1"/>
    <col min="2567" max="2567" width="11.28515625" style="122" customWidth="1"/>
    <col min="2568" max="2816" width="9.140625" style="122"/>
    <col min="2817" max="2817" width="4.7109375" style="122" bestFit="1" customWidth="1"/>
    <col min="2818" max="2818" width="44.140625" style="122" customWidth="1"/>
    <col min="2819" max="2819" width="7.5703125" style="122" bestFit="1" customWidth="1"/>
    <col min="2820" max="2820" width="9.85546875" style="122" customWidth="1"/>
    <col min="2821" max="2821" width="8.140625" style="122" bestFit="1" customWidth="1"/>
    <col min="2822" max="2822" width="7.28515625" style="122" bestFit="1" customWidth="1"/>
    <col min="2823" max="2823" width="11.28515625" style="122" customWidth="1"/>
    <col min="2824" max="3072" width="9.140625" style="122"/>
    <col min="3073" max="3073" width="4.7109375" style="122" bestFit="1" customWidth="1"/>
    <col min="3074" max="3074" width="44.140625" style="122" customWidth="1"/>
    <col min="3075" max="3075" width="7.5703125" style="122" bestFit="1" customWidth="1"/>
    <col min="3076" max="3076" width="9.85546875" style="122" customWidth="1"/>
    <col min="3077" max="3077" width="8.140625" style="122" bestFit="1" customWidth="1"/>
    <col min="3078" max="3078" width="7.28515625" style="122" bestFit="1" customWidth="1"/>
    <col min="3079" max="3079" width="11.28515625" style="122" customWidth="1"/>
    <col min="3080" max="3328" width="9.140625" style="122"/>
    <col min="3329" max="3329" width="4.7109375" style="122" bestFit="1" customWidth="1"/>
    <col min="3330" max="3330" width="44.140625" style="122" customWidth="1"/>
    <col min="3331" max="3331" width="7.5703125" style="122" bestFit="1" customWidth="1"/>
    <col min="3332" max="3332" width="9.85546875" style="122" customWidth="1"/>
    <col min="3333" max="3333" width="8.140625" style="122" bestFit="1" customWidth="1"/>
    <col min="3334" max="3334" width="7.28515625" style="122" bestFit="1" customWidth="1"/>
    <col min="3335" max="3335" width="11.28515625" style="122" customWidth="1"/>
    <col min="3336" max="3584" width="9.140625" style="122"/>
    <col min="3585" max="3585" width="4.7109375" style="122" bestFit="1" customWidth="1"/>
    <col min="3586" max="3586" width="44.140625" style="122" customWidth="1"/>
    <col min="3587" max="3587" width="7.5703125" style="122" bestFit="1" customWidth="1"/>
    <col min="3588" max="3588" width="9.85546875" style="122" customWidth="1"/>
    <col min="3589" max="3589" width="8.140625" style="122" bestFit="1" customWidth="1"/>
    <col min="3590" max="3590" width="7.28515625" style="122" bestFit="1" customWidth="1"/>
    <col min="3591" max="3591" width="11.28515625" style="122" customWidth="1"/>
    <col min="3592" max="3840" width="9.140625" style="122"/>
    <col min="3841" max="3841" width="4.7109375" style="122" bestFit="1" customWidth="1"/>
    <col min="3842" max="3842" width="44.140625" style="122" customWidth="1"/>
    <col min="3843" max="3843" width="7.5703125" style="122" bestFit="1" customWidth="1"/>
    <col min="3844" max="3844" width="9.85546875" style="122" customWidth="1"/>
    <col min="3845" max="3845" width="8.140625" style="122" bestFit="1" customWidth="1"/>
    <col min="3846" max="3846" width="7.28515625" style="122" bestFit="1" customWidth="1"/>
    <col min="3847" max="3847" width="11.28515625" style="122" customWidth="1"/>
    <col min="3848" max="4096" width="9.140625" style="122"/>
    <col min="4097" max="4097" width="4.7109375" style="122" bestFit="1" customWidth="1"/>
    <col min="4098" max="4098" width="44.140625" style="122" customWidth="1"/>
    <col min="4099" max="4099" width="7.5703125" style="122" bestFit="1" customWidth="1"/>
    <col min="4100" max="4100" width="9.85546875" style="122" customWidth="1"/>
    <col min="4101" max="4101" width="8.140625" style="122" bestFit="1" customWidth="1"/>
    <col min="4102" max="4102" width="7.28515625" style="122" bestFit="1" customWidth="1"/>
    <col min="4103" max="4103" width="11.28515625" style="122" customWidth="1"/>
    <col min="4104" max="4352" width="9.140625" style="122"/>
    <col min="4353" max="4353" width="4.7109375" style="122" bestFit="1" customWidth="1"/>
    <col min="4354" max="4354" width="44.140625" style="122" customWidth="1"/>
    <col min="4355" max="4355" width="7.5703125" style="122" bestFit="1" customWidth="1"/>
    <col min="4356" max="4356" width="9.85546875" style="122" customWidth="1"/>
    <col min="4357" max="4357" width="8.140625" style="122" bestFit="1" customWidth="1"/>
    <col min="4358" max="4358" width="7.28515625" style="122" bestFit="1" customWidth="1"/>
    <col min="4359" max="4359" width="11.28515625" style="122" customWidth="1"/>
    <col min="4360" max="4608" width="9.140625" style="122"/>
    <col min="4609" max="4609" width="4.7109375" style="122" bestFit="1" customWidth="1"/>
    <col min="4610" max="4610" width="44.140625" style="122" customWidth="1"/>
    <col min="4611" max="4611" width="7.5703125" style="122" bestFit="1" customWidth="1"/>
    <col min="4612" max="4612" width="9.85546875" style="122" customWidth="1"/>
    <col min="4613" max="4613" width="8.140625" style="122" bestFit="1" customWidth="1"/>
    <col min="4614" max="4614" width="7.28515625" style="122" bestFit="1" customWidth="1"/>
    <col min="4615" max="4615" width="11.28515625" style="122" customWidth="1"/>
    <col min="4616" max="4864" width="9.140625" style="122"/>
    <col min="4865" max="4865" width="4.7109375" style="122" bestFit="1" customWidth="1"/>
    <col min="4866" max="4866" width="44.140625" style="122" customWidth="1"/>
    <col min="4867" max="4867" width="7.5703125" style="122" bestFit="1" customWidth="1"/>
    <col min="4868" max="4868" width="9.85546875" style="122" customWidth="1"/>
    <col min="4869" max="4869" width="8.140625" style="122" bestFit="1" customWidth="1"/>
    <col min="4870" max="4870" width="7.28515625" style="122" bestFit="1" customWidth="1"/>
    <col min="4871" max="4871" width="11.28515625" style="122" customWidth="1"/>
    <col min="4872" max="5120" width="9.140625" style="122"/>
    <col min="5121" max="5121" width="4.7109375" style="122" bestFit="1" customWidth="1"/>
    <col min="5122" max="5122" width="44.140625" style="122" customWidth="1"/>
    <col min="5123" max="5123" width="7.5703125" style="122" bestFit="1" customWidth="1"/>
    <col min="5124" max="5124" width="9.85546875" style="122" customWidth="1"/>
    <col min="5125" max="5125" width="8.140625" style="122" bestFit="1" customWidth="1"/>
    <col min="5126" max="5126" width="7.28515625" style="122" bestFit="1" customWidth="1"/>
    <col min="5127" max="5127" width="11.28515625" style="122" customWidth="1"/>
    <col min="5128" max="5376" width="9.140625" style="122"/>
    <col min="5377" max="5377" width="4.7109375" style="122" bestFit="1" customWidth="1"/>
    <col min="5378" max="5378" width="44.140625" style="122" customWidth="1"/>
    <col min="5379" max="5379" width="7.5703125" style="122" bestFit="1" customWidth="1"/>
    <col min="5380" max="5380" width="9.85546875" style="122" customWidth="1"/>
    <col min="5381" max="5381" width="8.140625" style="122" bestFit="1" customWidth="1"/>
    <col min="5382" max="5382" width="7.28515625" style="122" bestFit="1" customWidth="1"/>
    <col min="5383" max="5383" width="11.28515625" style="122" customWidth="1"/>
    <col min="5384" max="5632" width="9.140625" style="122"/>
    <col min="5633" max="5633" width="4.7109375" style="122" bestFit="1" customWidth="1"/>
    <col min="5634" max="5634" width="44.140625" style="122" customWidth="1"/>
    <col min="5635" max="5635" width="7.5703125" style="122" bestFit="1" customWidth="1"/>
    <col min="5636" max="5636" width="9.85546875" style="122" customWidth="1"/>
    <col min="5637" max="5637" width="8.140625" style="122" bestFit="1" customWidth="1"/>
    <col min="5638" max="5638" width="7.28515625" style="122" bestFit="1" customWidth="1"/>
    <col min="5639" max="5639" width="11.28515625" style="122" customWidth="1"/>
    <col min="5640" max="5888" width="9.140625" style="122"/>
    <col min="5889" max="5889" width="4.7109375" style="122" bestFit="1" customWidth="1"/>
    <col min="5890" max="5890" width="44.140625" style="122" customWidth="1"/>
    <col min="5891" max="5891" width="7.5703125" style="122" bestFit="1" customWidth="1"/>
    <col min="5892" max="5892" width="9.85546875" style="122" customWidth="1"/>
    <col min="5893" max="5893" width="8.140625" style="122" bestFit="1" customWidth="1"/>
    <col min="5894" max="5894" width="7.28515625" style="122" bestFit="1" customWidth="1"/>
    <col min="5895" max="5895" width="11.28515625" style="122" customWidth="1"/>
    <col min="5896" max="6144" width="9.140625" style="122"/>
    <col min="6145" max="6145" width="4.7109375" style="122" bestFit="1" customWidth="1"/>
    <col min="6146" max="6146" width="44.140625" style="122" customWidth="1"/>
    <col min="6147" max="6147" width="7.5703125" style="122" bestFit="1" customWidth="1"/>
    <col min="6148" max="6148" width="9.85546875" style="122" customWidth="1"/>
    <col min="6149" max="6149" width="8.140625" style="122" bestFit="1" customWidth="1"/>
    <col min="6150" max="6150" width="7.28515625" style="122" bestFit="1" customWidth="1"/>
    <col min="6151" max="6151" width="11.28515625" style="122" customWidth="1"/>
    <col min="6152" max="6400" width="9.140625" style="122"/>
    <col min="6401" max="6401" width="4.7109375" style="122" bestFit="1" customWidth="1"/>
    <col min="6402" max="6402" width="44.140625" style="122" customWidth="1"/>
    <col min="6403" max="6403" width="7.5703125" style="122" bestFit="1" customWidth="1"/>
    <col min="6404" max="6404" width="9.85546875" style="122" customWidth="1"/>
    <col min="6405" max="6405" width="8.140625" style="122" bestFit="1" customWidth="1"/>
    <col min="6406" max="6406" width="7.28515625" style="122" bestFit="1" customWidth="1"/>
    <col min="6407" max="6407" width="11.28515625" style="122" customWidth="1"/>
    <col min="6408" max="6656" width="9.140625" style="122"/>
    <col min="6657" max="6657" width="4.7109375" style="122" bestFit="1" customWidth="1"/>
    <col min="6658" max="6658" width="44.140625" style="122" customWidth="1"/>
    <col min="6659" max="6659" width="7.5703125" style="122" bestFit="1" customWidth="1"/>
    <col min="6660" max="6660" width="9.85546875" style="122" customWidth="1"/>
    <col min="6661" max="6661" width="8.140625" style="122" bestFit="1" customWidth="1"/>
    <col min="6662" max="6662" width="7.28515625" style="122" bestFit="1" customWidth="1"/>
    <col min="6663" max="6663" width="11.28515625" style="122" customWidth="1"/>
    <col min="6664" max="6912" width="9.140625" style="122"/>
    <col min="6913" max="6913" width="4.7109375" style="122" bestFit="1" customWidth="1"/>
    <col min="6914" max="6914" width="44.140625" style="122" customWidth="1"/>
    <col min="6915" max="6915" width="7.5703125" style="122" bestFit="1" customWidth="1"/>
    <col min="6916" max="6916" width="9.85546875" style="122" customWidth="1"/>
    <col min="6917" max="6917" width="8.140625" style="122" bestFit="1" customWidth="1"/>
    <col min="6918" max="6918" width="7.28515625" style="122" bestFit="1" customWidth="1"/>
    <col min="6919" max="6919" width="11.28515625" style="122" customWidth="1"/>
    <col min="6920" max="7168" width="9.140625" style="122"/>
    <col min="7169" max="7169" width="4.7109375" style="122" bestFit="1" customWidth="1"/>
    <col min="7170" max="7170" width="44.140625" style="122" customWidth="1"/>
    <col min="7171" max="7171" width="7.5703125" style="122" bestFit="1" customWidth="1"/>
    <col min="7172" max="7172" width="9.85546875" style="122" customWidth="1"/>
    <col min="7173" max="7173" width="8.140625" style="122" bestFit="1" customWidth="1"/>
    <col min="7174" max="7174" width="7.28515625" style="122" bestFit="1" customWidth="1"/>
    <col min="7175" max="7175" width="11.28515625" style="122" customWidth="1"/>
    <col min="7176" max="7424" width="9.140625" style="122"/>
    <col min="7425" max="7425" width="4.7109375" style="122" bestFit="1" customWidth="1"/>
    <col min="7426" max="7426" width="44.140625" style="122" customWidth="1"/>
    <col min="7427" max="7427" width="7.5703125" style="122" bestFit="1" customWidth="1"/>
    <col min="7428" max="7428" width="9.85546875" style="122" customWidth="1"/>
    <col min="7429" max="7429" width="8.140625" style="122" bestFit="1" customWidth="1"/>
    <col min="7430" max="7430" width="7.28515625" style="122" bestFit="1" customWidth="1"/>
    <col min="7431" max="7431" width="11.28515625" style="122" customWidth="1"/>
    <col min="7432" max="7680" width="9.140625" style="122"/>
    <col min="7681" max="7681" width="4.7109375" style="122" bestFit="1" customWidth="1"/>
    <col min="7682" max="7682" width="44.140625" style="122" customWidth="1"/>
    <col min="7683" max="7683" width="7.5703125" style="122" bestFit="1" customWidth="1"/>
    <col min="7684" max="7684" width="9.85546875" style="122" customWidth="1"/>
    <col min="7685" max="7685" width="8.140625" style="122" bestFit="1" customWidth="1"/>
    <col min="7686" max="7686" width="7.28515625" style="122" bestFit="1" customWidth="1"/>
    <col min="7687" max="7687" width="11.28515625" style="122" customWidth="1"/>
    <col min="7688" max="7936" width="9.140625" style="122"/>
    <col min="7937" max="7937" width="4.7109375" style="122" bestFit="1" customWidth="1"/>
    <col min="7938" max="7938" width="44.140625" style="122" customWidth="1"/>
    <col min="7939" max="7939" width="7.5703125" style="122" bestFit="1" customWidth="1"/>
    <col min="7940" max="7940" width="9.85546875" style="122" customWidth="1"/>
    <col min="7941" max="7941" width="8.140625" style="122" bestFit="1" customWidth="1"/>
    <col min="7942" max="7942" width="7.28515625" style="122" bestFit="1" customWidth="1"/>
    <col min="7943" max="7943" width="11.28515625" style="122" customWidth="1"/>
    <col min="7944" max="8192" width="9.140625" style="122"/>
    <col min="8193" max="8193" width="4.7109375" style="122" bestFit="1" customWidth="1"/>
    <col min="8194" max="8194" width="44.140625" style="122" customWidth="1"/>
    <col min="8195" max="8195" width="7.5703125" style="122" bestFit="1" customWidth="1"/>
    <col min="8196" max="8196" width="9.85546875" style="122" customWidth="1"/>
    <col min="8197" max="8197" width="8.140625" style="122" bestFit="1" customWidth="1"/>
    <col min="8198" max="8198" width="7.28515625" style="122" bestFit="1" customWidth="1"/>
    <col min="8199" max="8199" width="11.28515625" style="122" customWidth="1"/>
    <col min="8200" max="8448" width="9.140625" style="122"/>
    <col min="8449" max="8449" width="4.7109375" style="122" bestFit="1" customWidth="1"/>
    <col min="8450" max="8450" width="44.140625" style="122" customWidth="1"/>
    <col min="8451" max="8451" width="7.5703125" style="122" bestFit="1" customWidth="1"/>
    <col min="8452" max="8452" width="9.85546875" style="122" customWidth="1"/>
    <col min="8453" max="8453" width="8.140625" style="122" bestFit="1" customWidth="1"/>
    <col min="8454" max="8454" width="7.28515625" style="122" bestFit="1" customWidth="1"/>
    <col min="8455" max="8455" width="11.28515625" style="122" customWidth="1"/>
    <col min="8456" max="8704" width="9.140625" style="122"/>
    <col min="8705" max="8705" width="4.7109375" style="122" bestFit="1" customWidth="1"/>
    <col min="8706" max="8706" width="44.140625" style="122" customWidth="1"/>
    <col min="8707" max="8707" width="7.5703125" style="122" bestFit="1" customWidth="1"/>
    <col min="8708" max="8708" width="9.85546875" style="122" customWidth="1"/>
    <col min="8709" max="8709" width="8.140625" style="122" bestFit="1" customWidth="1"/>
    <col min="8710" max="8710" width="7.28515625" style="122" bestFit="1" customWidth="1"/>
    <col min="8711" max="8711" width="11.28515625" style="122" customWidth="1"/>
    <col min="8712" max="8960" width="9.140625" style="122"/>
    <col min="8961" max="8961" width="4.7109375" style="122" bestFit="1" customWidth="1"/>
    <col min="8962" max="8962" width="44.140625" style="122" customWidth="1"/>
    <col min="8963" max="8963" width="7.5703125" style="122" bestFit="1" customWidth="1"/>
    <col min="8964" max="8964" width="9.85546875" style="122" customWidth="1"/>
    <col min="8965" max="8965" width="8.140625" style="122" bestFit="1" customWidth="1"/>
    <col min="8966" max="8966" width="7.28515625" style="122" bestFit="1" customWidth="1"/>
    <col min="8967" max="8967" width="11.28515625" style="122" customWidth="1"/>
    <col min="8968" max="9216" width="9.140625" style="122"/>
    <col min="9217" max="9217" width="4.7109375" style="122" bestFit="1" customWidth="1"/>
    <col min="9218" max="9218" width="44.140625" style="122" customWidth="1"/>
    <col min="9219" max="9219" width="7.5703125" style="122" bestFit="1" customWidth="1"/>
    <col min="9220" max="9220" width="9.85546875" style="122" customWidth="1"/>
    <col min="9221" max="9221" width="8.140625" style="122" bestFit="1" customWidth="1"/>
    <col min="9222" max="9222" width="7.28515625" style="122" bestFit="1" customWidth="1"/>
    <col min="9223" max="9223" width="11.28515625" style="122" customWidth="1"/>
    <col min="9224" max="9472" width="9.140625" style="122"/>
    <col min="9473" max="9473" width="4.7109375" style="122" bestFit="1" customWidth="1"/>
    <col min="9474" max="9474" width="44.140625" style="122" customWidth="1"/>
    <col min="9475" max="9475" width="7.5703125" style="122" bestFit="1" customWidth="1"/>
    <col min="9476" max="9476" width="9.85546875" style="122" customWidth="1"/>
    <col min="9477" max="9477" width="8.140625" style="122" bestFit="1" customWidth="1"/>
    <col min="9478" max="9478" width="7.28515625" style="122" bestFit="1" customWidth="1"/>
    <col min="9479" max="9479" width="11.28515625" style="122" customWidth="1"/>
    <col min="9480" max="9728" width="9.140625" style="122"/>
    <col min="9729" max="9729" width="4.7109375" style="122" bestFit="1" customWidth="1"/>
    <col min="9730" max="9730" width="44.140625" style="122" customWidth="1"/>
    <col min="9731" max="9731" width="7.5703125" style="122" bestFit="1" customWidth="1"/>
    <col min="9732" max="9732" width="9.85546875" style="122" customWidth="1"/>
    <col min="9733" max="9733" width="8.140625" style="122" bestFit="1" customWidth="1"/>
    <col min="9734" max="9734" width="7.28515625" style="122" bestFit="1" customWidth="1"/>
    <col min="9735" max="9735" width="11.28515625" style="122" customWidth="1"/>
    <col min="9736" max="9984" width="9.140625" style="122"/>
    <col min="9985" max="9985" width="4.7109375" style="122" bestFit="1" customWidth="1"/>
    <col min="9986" max="9986" width="44.140625" style="122" customWidth="1"/>
    <col min="9987" max="9987" width="7.5703125" style="122" bestFit="1" customWidth="1"/>
    <col min="9988" max="9988" width="9.85546875" style="122" customWidth="1"/>
    <col min="9989" max="9989" width="8.140625" style="122" bestFit="1" customWidth="1"/>
    <col min="9990" max="9990" width="7.28515625" style="122" bestFit="1" customWidth="1"/>
    <col min="9991" max="9991" width="11.28515625" style="122" customWidth="1"/>
    <col min="9992" max="10240" width="9.140625" style="122"/>
    <col min="10241" max="10241" width="4.7109375" style="122" bestFit="1" customWidth="1"/>
    <col min="10242" max="10242" width="44.140625" style="122" customWidth="1"/>
    <col min="10243" max="10243" width="7.5703125" style="122" bestFit="1" customWidth="1"/>
    <col min="10244" max="10244" width="9.85546875" style="122" customWidth="1"/>
    <col min="10245" max="10245" width="8.140625" style="122" bestFit="1" customWidth="1"/>
    <col min="10246" max="10246" width="7.28515625" style="122" bestFit="1" customWidth="1"/>
    <col min="10247" max="10247" width="11.28515625" style="122" customWidth="1"/>
    <col min="10248" max="10496" width="9.140625" style="122"/>
    <col min="10497" max="10497" width="4.7109375" style="122" bestFit="1" customWidth="1"/>
    <col min="10498" max="10498" width="44.140625" style="122" customWidth="1"/>
    <col min="10499" max="10499" width="7.5703125" style="122" bestFit="1" customWidth="1"/>
    <col min="10500" max="10500" width="9.85546875" style="122" customWidth="1"/>
    <col min="10501" max="10501" width="8.140625" style="122" bestFit="1" customWidth="1"/>
    <col min="10502" max="10502" width="7.28515625" style="122" bestFit="1" customWidth="1"/>
    <col min="10503" max="10503" width="11.28515625" style="122" customWidth="1"/>
    <col min="10504" max="10752" width="9.140625" style="122"/>
    <col min="10753" max="10753" width="4.7109375" style="122" bestFit="1" customWidth="1"/>
    <col min="10754" max="10754" width="44.140625" style="122" customWidth="1"/>
    <col min="10755" max="10755" width="7.5703125" style="122" bestFit="1" customWidth="1"/>
    <col min="10756" max="10756" width="9.85546875" style="122" customWidth="1"/>
    <col min="10757" max="10757" width="8.140625" style="122" bestFit="1" customWidth="1"/>
    <col min="10758" max="10758" width="7.28515625" style="122" bestFit="1" customWidth="1"/>
    <col min="10759" max="10759" width="11.28515625" style="122" customWidth="1"/>
    <col min="10760" max="11008" width="9.140625" style="122"/>
    <col min="11009" max="11009" width="4.7109375" style="122" bestFit="1" customWidth="1"/>
    <col min="11010" max="11010" width="44.140625" style="122" customWidth="1"/>
    <col min="11011" max="11011" width="7.5703125" style="122" bestFit="1" customWidth="1"/>
    <col min="11012" max="11012" width="9.85546875" style="122" customWidth="1"/>
    <col min="11013" max="11013" width="8.140625" style="122" bestFit="1" customWidth="1"/>
    <col min="11014" max="11014" width="7.28515625" style="122" bestFit="1" customWidth="1"/>
    <col min="11015" max="11015" width="11.28515625" style="122" customWidth="1"/>
    <col min="11016" max="11264" width="9.140625" style="122"/>
    <col min="11265" max="11265" width="4.7109375" style="122" bestFit="1" customWidth="1"/>
    <col min="11266" max="11266" width="44.140625" style="122" customWidth="1"/>
    <col min="11267" max="11267" width="7.5703125" style="122" bestFit="1" customWidth="1"/>
    <col min="11268" max="11268" width="9.85546875" style="122" customWidth="1"/>
    <col min="11269" max="11269" width="8.140625" style="122" bestFit="1" customWidth="1"/>
    <col min="11270" max="11270" width="7.28515625" style="122" bestFit="1" customWidth="1"/>
    <col min="11271" max="11271" width="11.28515625" style="122" customWidth="1"/>
    <col min="11272" max="11520" width="9.140625" style="122"/>
    <col min="11521" max="11521" width="4.7109375" style="122" bestFit="1" customWidth="1"/>
    <col min="11522" max="11522" width="44.140625" style="122" customWidth="1"/>
    <col min="11523" max="11523" width="7.5703125" style="122" bestFit="1" customWidth="1"/>
    <col min="11524" max="11524" width="9.85546875" style="122" customWidth="1"/>
    <col min="11525" max="11525" width="8.140625" style="122" bestFit="1" customWidth="1"/>
    <col min="11526" max="11526" width="7.28515625" style="122" bestFit="1" customWidth="1"/>
    <col min="11527" max="11527" width="11.28515625" style="122" customWidth="1"/>
    <col min="11528" max="11776" width="9.140625" style="122"/>
    <col min="11777" max="11777" width="4.7109375" style="122" bestFit="1" customWidth="1"/>
    <col min="11778" max="11778" width="44.140625" style="122" customWidth="1"/>
    <col min="11779" max="11779" width="7.5703125" style="122" bestFit="1" customWidth="1"/>
    <col min="11780" max="11780" width="9.85546875" style="122" customWidth="1"/>
    <col min="11781" max="11781" width="8.140625" style="122" bestFit="1" customWidth="1"/>
    <col min="11782" max="11782" width="7.28515625" style="122" bestFit="1" customWidth="1"/>
    <col min="11783" max="11783" width="11.28515625" style="122" customWidth="1"/>
    <col min="11784" max="12032" width="9.140625" style="122"/>
    <col min="12033" max="12033" width="4.7109375" style="122" bestFit="1" customWidth="1"/>
    <col min="12034" max="12034" width="44.140625" style="122" customWidth="1"/>
    <col min="12035" max="12035" width="7.5703125" style="122" bestFit="1" customWidth="1"/>
    <col min="12036" max="12036" width="9.85546875" style="122" customWidth="1"/>
    <col min="12037" max="12037" width="8.140625" style="122" bestFit="1" customWidth="1"/>
    <col min="12038" max="12038" width="7.28515625" style="122" bestFit="1" customWidth="1"/>
    <col min="12039" max="12039" width="11.28515625" style="122" customWidth="1"/>
    <col min="12040" max="12288" width="9.140625" style="122"/>
    <col min="12289" max="12289" width="4.7109375" style="122" bestFit="1" customWidth="1"/>
    <col min="12290" max="12290" width="44.140625" style="122" customWidth="1"/>
    <col min="12291" max="12291" width="7.5703125" style="122" bestFit="1" customWidth="1"/>
    <col min="12292" max="12292" width="9.85546875" style="122" customWidth="1"/>
    <col min="12293" max="12293" width="8.140625" style="122" bestFit="1" customWidth="1"/>
    <col min="12294" max="12294" width="7.28515625" style="122" bestFit="1" customWidth="1"/>
    <col min="12295" max="12295" width="11.28515625" style="122" customWidth="1"/>
    <col min="12296" max="12544" width="9.140625" style="122"/>
    <col min="12545" max="12545" width="4.7109375" style="122" bestFit="1" customWidth="1"/>
    <col min="12546" max="12546" width="44.140625" style="122" customWidth="1"/>
    <col min="12547" max="12547" width="7.5703125" style="122" bestFit="1" customWidth="1"/>
    <col min="12548" max="12548" width="9.85546875" style="122" customWidth="1"/>
    <col min="12549" max="12549" width="8.140625" style="122" bestFit="1" customWidth="1"/>
    <col min="12550" max="12550" width="7.28515625" style="122" bestFit="1" customWidth="1"/>
    <col min="12551" max="12551" width="11.28515625" style="122" customWidth="1"/>
    <col min="12552" max="12800" width="9.140625" style="122"/>
    <col min="12801" max="12801" width="4.7109375" style="122" bestFit="1" customWidth="1"/>
    <col min="12802" max="12802" width="44.140625" style="122" customWidth="1"/>
    <col min="12803" max="12803" width="7.5703125" style="122" bestFit="1" customWidth="1"/>
    <col min="12804" max="12804" width="9.85546875" style="122" customWidth="1"/>
    <col min="12805" max="12805" width="8.140625" style="122" bestFit="1" customWidth="1"/>
    <col min="12806" max="12806" width="7.28515625" style="122" bestFit="1" customWidth="1"/>
    <col min="12807" max="12807" width="11.28515625" style="122" customWidth="1"/>
    <col min="12808" max="13056" width="9.140625" style="122"/>
    <col min="13057" max="13057" width="4.7109375" style="122" bestFit="1" customWidth="1"/>
    <col min="13058" max="13058" width="44.140625" style="122" customWidth="1"/>
    <col min="13059" max="13059" width="7.5703125" style="122" bestFit="1" customWidth="1"/>
    <col min="13060" max="13060" width="9.85546875" style="122" customWidth="1"/>
    <col min="13061" max="13061" width="8.140625" style="122" bestFit="1" customWidth="1"/>
    <col min="13062" max="13062" width="7.28515625" style="122" bestFit="1" customWidth="1"/>
    <col min="13063" max="13063" width="11.28515625" style="122" customWidth="1"/>
    <col min="13064" max="13312" width="9.140625" style="122"/>
    <col min="13313" max="13313" width="4.7109375" style="122" bestFit="1" customWidth="1"/>
    <col min="13314" max="13314" width="44.140625" style="122" customWidth="1"/>
    <col min="13315" max="13315" width="7.5703125" style="122" bestFit="1" customWidth="1"/>
    <col min="13316" max="13316" width="9.85546875" style="122" customWidth="1"/>
    <col min="13317" max="13317" width="8.140625" style="122" bestFit="1" customWidth="1"/>
    <col min="13318" max="13318" width="7.28515625" style="122" bestFit="1" customWidth="1"/>
    <col min="13319" max="13319" width="11.28515625" style="122" customWidth="1"/>
    <col min="13320" max="13568" width="9.140625" style="122"/>
    <col min="13569" max="13569" width="4.7109375" style="122" bestFit="1" customWidth="1"/>
    <col min="13570" max="13570" width="44.140625" style="122" customWidth="1"/>
    <col min="13571" max="13571" width="7.5703125" style="122" bestFit="1" customWidth="1"/>
    <col min="13572" max="13572" width="9.85546875" style="122" customWidth="1"/>
    <col min="13573" max="13573" width="8.140625" style="122" bestFit="1" customWidth="1"/>
    <col min="13574" max="13574" width="7.28515625" style="122" bestFit="1" customWidth="1"/>
    <col min="13575" max="13575" width="11.28515625" style="122" customWidth="1"/>
    <col min="13576" max="13824" width="9.140625" style="122"/>
    <col min="13825" max="13825" width="4.7109375" style="122" bestFit="1" customWidth="1"/>
    <col min="13826" max="13826" width="44.140625" style="122" customWidth="1"/>
    <col min="13827" max="13827" width="7.5703125" style="122" bestFit="1" customWidth="1"/>
    <col min="13828" max="13828" width="9.85546875" style="122" customWidth="1"/>
    <col min="13829" max="13829" width="8.140625" style="122" bestFit="1" customWidth="1"/>
    <col min="13830" max="13830" width="7.28515625" style="122" bestFit="1" customWidth="1"/>
    <col min="13831" max="13831" width="11.28515625" style="122" customWidth="1"/>
    <col min="13832" max="14080" width="9.140625" style="122"/>
    <col min="14081" max="14081" width="4.7109375" style="122" bestFit="1" customWidth="1"/>
    <col min="14082" max="14082" width="44.140625" style="122" customWidth="1"/>
    <col min="14083" max="14083" width="7.5703125" style="122" bestFit="1" customWidth="1"/>
    <col min="14084" max="14084" width="9.85546875" style="122" customWidth="1"/>
    <col min="14085" max="14085" width="8.140625" style="122" bestFit="1" customWidth="1"/>
    <col min="14086" max="14086" width="7.28515625" style="122" bestFit="1" customWidth="1"/>
    <col min="14087" max="14087" width="11.28515625" style="122" customWidth="1"/>
    <col min="14088" max="14336" width="9.140625" style="122"/>
    <col min="14337" max="14337" width="4.7109375" style="122" bestFit="1" customWidth="1"/>
    <col min="14338" max="14338" width="44.140625" style="122" customWidth="1"/>
    <col min="14339" max="14339" width="7.5703125" style="122" bestFit="1" customWidth="1"/>
    <col min="14340" max="14340" width="9.85546875" style="122" customWidth="1"/>
    <col min="14341" max="14341" width="8.140625" style="122" bestFit="1" customWidth="1"/>
    <col min="14342" max="14342" width="7.28515625" style="122" bestFit="1" customWidth="1"/>
    <col min="14343" max="14343" width="11.28515625" style="122" customWidth="1"/>
    <col min="14344" max="14592" width="9.140625" style="122"/>
    <col min="14593" max="14593" width="4.7109375" style="122" bestFit="1" customWidth="1"/>
    <col min="14594" max="14594" width="44.140625" style="122" customWidth="1"/>
    <col min="14595" max="14595" width="7.5703125" style="122" bestFit="1" customWidth="1"/>
    <col min="14596" max="14596" width="9.85546875" style="122" customWidth="1"/>
    <col min="14597" max="14597" width="8.140625" style="122" bestFit="1" customWidth="1"/>
    <col min="14598" max="14598" width="7.28515625" style="122" bestFit="1" customWidth="1"/>
    <col min="14599" max="14599" width="11.28515625" style="122" customWidth="1"/>
    <col min="14600" max="14848" width="9.140625" style="122"/>
    <col min="14849" max="14849" width="4.7109375" style="122" bestFit="1" customWidth="1"/>
    <col min="14850" max="14850" width="44.140625" style="122" customWidth="1"/>
    <col min="14851" max="14851" width="7.5703125" style="122" bestFit="1" customWidth="1"/>
    <col min="14852" max="14852" width="9.85546875" style="122" customWidth="1"/>
    <col min="14853" max="14853" width="8.140625" style="122" bestFit="1" customWidth="1"/>
    <col min="14854" max="14854" width="7.28515625" style="122" bestFit="1" customWidth="1"/>
    <col min="14855" max="14855" width="11.28515625" style="122" customWidth="1"/>
    <col min="14856" max="15104" width="9.140625" style="122"/>
    <col min="15105" max="15105" width="4.7109375" style="122" bestFit="1" customWidth="1"/>
    <col min="15106" max="15106" width="44.140625" style="122" customWidth="1"/>
    <col min="15107" max="15107" width="7.5703125" style="122" bestFit="1" customWidth="1"/>
    <col min="15108" max="15108" width="9.85546875" style="122" customWidth="1"/>
    <col min="15109" max="15109" width="8.140625" style="122" bestFit="1" customWidth="1"/>
    <col min="15110" max="15110" width="7.28515625" style="122" bestFit="1" customWidth="1"/>
    <col min="15111" max="15111" width="11.28515625" style="122" customWidth="1"/>
    <col min="15112" max="15360" width="9.140625" style="122"/>
    <col min="15361" max="15361" width="4.7109375" style="122" bestFit="1" customWidth="1"/>
    <col min="15362" max="15362" width="44.140625" style="122" customWidth="1"/>
    <col min="15363" max="15363" width="7.5703125" style="122" bestFit="1" customWidth="1"/>
    <col min="15364" max="15364" width="9.85546875" style="122" customWidth="1"/>
    <col min="15365" max="15365" width="8.140625" style="122" bestFit="1" customWidth="1"/>
    <col min="15366" max="15366" width="7.28515625" style="122" bestFit="1" customWidth="1"/>
    <col min="15367" max="15367" width="11.28515625" style="122" customWidth="1"/>
    <col min="15368" max="15616" width="9.140625" style="122"/>
    <col min="15617" max="15617" width="4.7109375" style="122" bestFit="1" customWidth="1"/>
    <col min="15618" max="15618" width="44.140625" style="122" customWidth="1"/>
    <col min="15619" max="15619" width="7.5703125" style="122" bestFit="1" customWidth="1"/>
    <col min="15620" max="15620" width="9.85546875" style="122" customWidth="1"/>
    <col min="15621" max="15621" width="8.140625" style="122" bestFit="1" customWidth="1"/>
    <col min="15622" max="15622" width="7.28515625" style="122" bestFit="1" customWidth="1"/>
    <col min="15623" max="15623" width="11.28515625" style="122" customWidth="1"/>
    <col min="15624" max="15872" width="9.140625" style="122"/>
    <col min="15873" max="15873" width="4.7109375" style="122" bestFit="1" customWidth="1"/>
    <col min="15874" max="15874" width="44.140625" style="122" customWidth="1"/>
    <col min="15875" max="15875" width="7.5703125" style="122" bestFit="1" customWidth="1"/>
    <col min="15876" max="15876" width="9.85546875" style="122" customWidth="1"/>
    <col min="15877" max="15877" width="8.140625" style="122" bestFit="1" customWidth="1"/>
    <col min="15878" max="15878" width="7.28515625" style="122" bestFit="1" customWidth="1"/>
    <col min="15879" max="15879" width="11.28515625" style="122" customWidth="1"/>
    <col min="15880" max="16128" width="9.140625" style="122"/>
    <col min="16129" max="16129" width="4.7109375" style="122" bestFit="1" customWidth="1"/>
    <col min="16130" max="16130" width="44.140625" style="122" customWidth="1"/>
    <col min="16131" max="16131" width="7.5703125" style="122" bestFit="1" customWidth="1"/>
    <col min="16132" max="16132" width="9.85546875" style="122" customWidth="1"/>
    <col min="16133" max="16133" width="8.140625" style="122" bestFit="1" customWidth="1"/>
    <col min="16134" max="16134" width="7.28515625" style="122" bestFit="1" customWidth="1"/>
    <col min="16135" max="16135" width="11.28515625" style="122" customWidth="1"/>
    <col min="16136" max="16384" width="9.140625" style="122"/>
  </cols>
  <sheetData>
    <row r="1" spans="1:6" ht="5.25" customHeight="1" x14ac:dyDescent="0.2">
      <c r="A1" s="408"/>
      <c r="B1" s="408"/>
      <c r="C1" s="408"/>
      <c r="D1" s="408"/>
      <c r="E1" s="408"/>
      <c r="F1" s="408"/>
    </row>
    <row r="2" spans="1:6" ht="23.25" customHeight="1" x14ac:dyDescent="0.2">
      <c r="A2" s="409" t="s">
        <v>263</v>
      </c>
      <c r="B2" s="410"/>
      <c r="C2" s="410"/>
      <c r="D2" s="410"/>
      <c r="E2" s="410"/>
      <c r="F2" s="411"/>
    </row>
    <row r="3" spans="1:6" s="124" customFormat="1" ht="22.5" customHeight="1" x14ac:dyDescent="0.2">
      <c r="A3" s="123" t="s">
        <v>91</v>
      </c>
      <c r="B3" s="123" t="s">
        <v>233</v>
      </c>
      <c r="C3" s="123" t="s">
        <v>234</v>
      </c>
      <c r="D3" s="123" t="s">
        <v>235</v>
      </c>
      <c r="E3" s="123" t="s">
        <v>176</v>
      </c>
      <c r="F3" s="123" t="s">
        <v>236</v>
      </c>
    </row>
    <row r="4" spans="1:6" ht="24" customHeight="1" x14ac:dyDescent="0.2">
      <c r="A4" s="125">
        <v>26</v>
      </c>
      <c r="B4" s="168" t="s">
        <v>264</v>
      </c>
      <c r="C4" s="125" t="s">
        <v>238</v>
      </c>
      <c r="D4" s="172">
        <v>1</v>
      </c>
      <c r="E4" s="126">
        <v>25</v>
      </c>
      <c r="F4" s="126">
        <f t="shared" ref="F4:F29" si="0">D4*E4/60</f>
        <v>0.41666666666666669</v>
      </c>
    </row>
    <row r="5" spans="1:6" ht="33" customHeight="1" x14ac:dyDescent="0.2">
      <c r="A5" s="125">
        <v>27</v>
      </c>
      <c r="B5" s="168" t="s">
        <v>265</v>
      </c>
      <c r="C5" s="125" t="s">
        <v>238</v>
      </c>
      <c r="D5" s="172">
        <v>1</v>
      </c>
      <c r="E5" s="126">
        <v>25</v>
      </c>
      <c r="F5" s="126">
        <f>D5*E5/60</f>
        <v>0.41666666666666669</v>
      </c>
    </row>
    <row r="6" spans="1:6" ht="33" customHeight="1" x14ac:dyDescent="0.2">
      <c r="A6" s="125">
        <v>28</v>
      </c>
      <c r="B6" s="168" t="s">
        <v>266</v>
      </c>
      <c r="C6" s="125" t="s">
        <v>238</v>
      </c>
      <c r="D6" s="172">
        <v>1</v>
      </c>
      <c r="E6" s="126">
        <v>25</v>
      </c>
      <c r="F6" s="126">
        <f>D6*E6/60</f>
        <v>0.41666666666666669</v>
      </c>
    </row>
    <row r="7" spans="1:6" ht="33" customHeight="1" x14ac:dyDescent="0.2">
      <c r="A7" s="125">
        <v>29</v>
      </c>
      <c r="B7" s="168" t="s">
        <v>267</v>
      </c>
      <c r="C7" s="125" t="s">
        <v>238</v>
      </c>
      <c r="D7" s="172">
        <v>1</v>
      </c>
      <c r="E7" s="126">
        <v>75</v>
      </c>
      <c r="F7" s="126">
        <f>D7*E7/60</f>
        <v>1.25</v>
      </c>
    </row>
    <row r="8" spans="1:6" ht="33" customHeight="1" x14ac:dyDescent="0.2">
      <c r="A8" s="125">
        <v>30</v>
      </c>
      <c r="B8" s="168" t="s">
        <v>268</v>
      </c>
      <c r="C8" s="125" t="s">
        <v>238</v>
      </c>
      <c r="D8" s="172">
        <v>1</v>
      </c>
      <c r="E8" s="126">
        <v>25</v>
      </c>
      <c r="F8" s="126">
        <f t="shared" si="0"/>
        <v>0.41666666666666669</v>
      </c>
    </row>
    <row r="9" spans="1:6" ht="24" customHeight="1" x14ac:dyDescent="0.2">
      <c r="A9" s="125">
        <v>31</v>
      </c>
      <c r="B9" s="168" t="s">
        <v>269</v>
      </c>
      <c r="C9" s="125" t="s">
        <v>249</v>
      </c>
      <c r="D9" s="172">
        <v>1</v>
      </c>
      <c r="E9" s="126">
        <v>25</v>
      </c>
      <c r="F9" s="126">
        <f t="shared" si="0"/>
        <v>0.41666666666666669</v>
      </c>
    </row>
    <row r="10" spans="1:6" ht="24" customHeight="1" x14ac:dyDescent="0.2">
      <c r="A10" s="125">
        <v>32</v>
      </c>
      <c r="B10" s="168" t="s">
        <v>270</v>
      </c>
      <c r="C10" s="125" t="s">
        <v>249</v>
      </c>
      <c r="D10" s="172">
        <v>1</v>
      </c>
      <c r="E10" s="126">
        <v>25</v>
      </c>
      <c r="F10" s="126">
        <f>D10*E10/60</f>
        <v>0.41666666666666669</v>
      </c>
    </row>
    <row r="11" spans="1:6" ht="24" customHeight="1" x14ac:dyDescent="0.2">
      <c r="A11" s="125">
        <v>33</v>
      </c>
      <c r="B11" s="168" t="s">
        <v>271</v>
      </c>
      <c r="C11" s="125" t="s">
        <v>249</v>
      </c>
      <c r="D11" s="172">
        <v>1</v>
      </c>
      <c r="E11" s="126">
        <v>25</v>
      </c>
      <c r="F11" s="126">
        <f>D11*E11/60</f>
        <v>0.41666666666666669</v>
      </c>
    </row>
    <row r="12" spans="1:6" ht="24" customHeight="1" x14ac:dyDescent="0.2">
      <c r="A12" s="125">
        <v>34</v>
      </c>
      <c r="B12" s="168" t="s">
        <v>272</v>
      </c>
      <c r="C12" s="125" t="s">
        <v>249</v>
      </c>
      <c r="D12" s="172">
        <v>1</v>
      </c>
      <c r="E12" s="126">
        <v>25</v>
      </c>
      <c r="F12" s="126">
        <f>D12*E12/60</f>
        <v>0.41666666666666669</v>
      </c>
    </row>
    <row r="13" spans="1:6" ht="24" customHeight="1" x14ac:dyDescent="0.2">
      <c r="A13" s="125">
        <v>35</v>
      </c>
      <c r="B13" s="168" t="s">
        <v>273</v>
      </c>
      <c r="C13" s="125" t="s">
        <v>249</v>
      </c>
      <c r="D13" s="172">
        <v>1</v>
      </c>
      <c r="E13" s="126">
        <v>25</v>
      </c>
      <c r="F13" s="126">
        <f>D13*E13/60</f>
        <v>0.41666666666666669</v>
      </c>
    </row>
    <row r="14" spans="1:6" ht="24" customHeight="1" x14ac:dyDescent="0.2">
      <c r="A14" s="125">
        <v>36</v>
      </c>
      <c r="B14" s="168" t="s">
        <v>274</v>
      </c>
      <c r="C14" s="125" t="s">
        <v>249</v>
      </c>
      <c r="D14" s="172">
        <v>1</v>
      </c>
      <c r="E14" s="126">
        <v>25</v>
      </c>
      <c r="F14" s="126">
        <f t="shared" si="0"/>
        <v>0.41666666666666669</v>
      </c>
    </row>
    <row r="15" spans="1:6" ht="24" customHeight="1" x14ac:dyDescent="0.2">
      <c r="A15" s="125">
        <v>37</v>
      </c>
      <c r="B15" s="168" t="s">
        <v>275</v>
      </c>
      <c r="C15" s="125" t="s">
        <v>249</v>
      </c>
      <c r="D15" s="172">
        <v>1</v>
      </c>
      <c r="E15" s="126">
        <v>25</v>
      </c>
      <c r="F15" s="126">
        <f>D15*E15/60</f>
        <v>0.41666666666666669</v>
      </c>
    </row>
    <row r="16" spans="1:6" ht="24" customHeight="1" x14ac:dyDescent="0.2">
      <c r="A16" s="125">
        <v>38</v>
      </c>
      <c r="B16" s="168" t="s">
        <v>276</v>
      </c>
      <c r="C16" s="125" t="s">
        <v>249</v>
      </c>
      <c r="D16" s="172">
        <v>1</v>
      </c>
      <c r="E16" s="126">
        <v>25</v>
      </c>
      <c r="F16" s="126">
        <f t="shared" si="0"/>
        <v>0.41666666666666669</v>
      </c>
    </row>
    <row r="17" spans="1:6" ht="24" customHeight="1" x14ac:dyDescent="0.2">
      <c r="A17" s="125">
        <v>39</v>
      </c>
      <c r="B17" s="168" t="s">
        <v>277</v>
      </c>
      <c r="C17" s="125" t="s">
        <v>249</v>
      </c>
      <c r="D17" s="172">
        <v>1</v>
      </c>
      <c r="E17" s="126">
        <v>25</v>
      </c>
      <c r="F17" s="126">
        <f>D17*E17/60</f>
        <v>0.41666666666666669</v>
      </c>
    </row>
    <row r="18" spans="1:6" ht="24" customHeight="1" x14ac:dyDescent="0.2">
      <c r="A18" s="125">
        <v>40</v>
      </c>
      <c r="B18" s="168" t="s">
        <v>278</v>
      </c>
      <c r="C18" s="125" t="s">
        <v>249</v>
      </c>
      <c r="D18" s="172">
        <v>1</v>
      </c>
      <c r="E18" s="126">
        <v>25</v>
      </c>
      <c r="F18" s="126">
        <f>D18*E18/60</f>
        <v>0.41666666666666669</v>
      </c>
    </row>
    <row r="19" spans="1:6" ht="24" customHeight="1" x14ac:dyDescent="0.2">
      <c r="A19" s="125">
        <v>41</v>
      </c>
      <c r="B19" s="168" t="s">
        <v>279</v>
      </c>
      <c r="C19" s="125" t="s">
        <v>238</v>
      </c>
      <c r="D19" s="172">
        <v>1</v>
      </c>
      <c r="E19" s="126">
        <v>25</v>
      </c>
      <c r="F19" s="126">
        <f t="shared" si="0"/>
        <v>0.41666666666666669</v>
      </c>
    </row>
    <row r="20" spans="1:6" ht="32.25" customHeight="1" x14ac:dyDescent="0.2">
      <c r="A20" s="125">
        <v>42</v>
      </c>
      <c r="B20" s="168" t="s">
        <v>280</v>
      </c>
      <c r="C20" s="125" t="s">
        <v>238</v>
      </c>
      <c r="D20" s="172">
        <v>1</v>
      </c>
      <c r="E20" s="126">
        <v>25</v>
      </c>
      <c r="F20" s="126">
        <f t="shared" si="0"/>
        <v>0.41666666666666669</v>
      </c>
    </row>
    <row r="21" spans="1:6" ht="24" customHeight="1" x14ac:dyDescent="0.2">
      <c r="A21" s="125">
        <v>43</v>
      </c>
      <c r="B21" s="168" t="s">
        <v>281</v>
      </c>
      <c r="C21" s="125" t="s">
        <v>238</v>
      </c>
      <c r="D21" s="172">
        <v>1</v>
      </c>
      <c r="E21" s="126">
        <v>25</v>
      </c>
      <c r="F21" s="126">
        <f t="shared" si="0"/>
        <v>0.41666666666666669</v>
      </c>
    </row>
    <row r="22" spans="1:6" ht="24" customHeight="1" x14ac:dyDescent="0.2">
      <c r="A22" s="125">
        <v>44</v>
      </c>
      <c r="B22" s="168" t="s">
        <v>282</v>
      </c>
      <c r="C22" s="125" t="s">
        <v>238</v>
      </c>
      <c r="D22" s="172">
        <v>2</v>
      </c>
      <c r="E22" s="126">
        <v>5</v>
      </c>
      <c r="F22" s="126">
        <f t="shared" si="0"/>
        <v>0.16666666666666666</v>
      </c>
    </row>
    <row r="23" spans="1:6" x14ac:dyDescent="0.2">
      <c r="A23" s="125">
        <v>45</v>
      </c>
      <c r="B23" s="168" t="s">
        <v>283</v>
      </c>
      <c r="C23" s="125" t="s">
        <v>249</v>
      </c>
      <c r="D23" s="172">
        <v>1</v>
      </c>
      <c r="E23" s="126">
        <v>25</v>
      </c>
      <c r="F23" s="126">
        <f t="shared" si="0"/>
        <v>0.41666666666666669</v>
      </c>
    </row>
    <row r="24" spans="1:6" x14ac:dyDescent="0.2">
      <c r="A24" s="125">
        <v>46</v>
      </c>
      <c r="B24" s="168" t="s">
        <v>284</v>
      </c>
      <c r="C24" s="125" t="s">
        <v>249</v>
      </c>
      <c r="D24" s="172">
        <v>1</v>
      </c>
      <c r="E24" s="126">
        <v>25</v>
      </c>
      <c r="F24" s="126">
        <f t="shared" si="0"/>
        <v>0.41666666666666669</v>
      </c>
    </row>
    <row r="25" spans="1:6" x14ac:dyDescent="0.2">
      <c r="A25" s="125">
        <v>47</v>
      </c>
      <c r="B25" s="168" t="s">
        <v>285</v>
      </c>
      <c r="C25" s="125" t="s">
        <v>249</v>
      </c>
      <c r="D25" s="172">
        <v>1</v>
      </c>
      <c r="E25" s="126">
        <v>25</v>
      </c>
      <c r="F25" s="126">
        <f>D25*E25/60</f>
        <v>0.41666666666666669</v>
      </c>
    </row>
    <row r="26" spans="1:6" x14ac:dyDescent="0.2">
      <c r="A26" s="125">
        <v>48</v>
      </c>
      <c r="B26" s="168" t="s">
        <v>286</v>
      </c>
      <c r="C26" s="125" t="s">
        <v>249</v>
      </c>
      <c r="D26" s="172">
        <v>1</v>
      </c>
      <c r="E26" s="126">
        <v>25</v>
      </c>
      <c r="F26" s="126">
        <f>D26*E26/60</f>
        <v>0.41666666666666669</v>
      </c>
    </row>
    <row r="27" spans="1:6" ht="24" customHeight="1" x14ac:dyDescent="0.2">
      <c r="A27" s="125">
        <v>49</v>
      </c>
      <c r="B27" s="168" t="s">
        <v>287</v>
      </c>
      <c r="C27" s="125" t="s">
        <v>238</v>
      </c>
      <c r="D27" s="172">
        <v>1</v>
      </c>
      <c r="E27" s="126">
        <v>25</v>
      </c>
      <c r="F27" s="126">
        <f t="shared" si="0"/>
        <v>0.41666666666666669</v>
      </c>
    </row>
    <row r="28" spans="1:6" ht="40.5" customHeight="1" x14ac:dyDescent="0.2">
      <c r="A28" s="125">
        <v>50</v>
      </c>
      <c r="B28" s="168" t="s">
        <v>288</v>
      </c>
      <c r="C28" s="125" t="s">
        <v>238</v>
      </c>
      <c r="D28" s="172">
        <v>1</v>
      </c>
      <c r="E28" s="126">
        <v>25</v>
      </c>
      <c r="F28" s="126">
        <f t="shared" si="0"/>
        <v>0.41666666666666669</v>
      </c>
    </row>
    <row r="29" spans="1:6" ht="24" customHeight="1" x14ac:dyDescent="0.2">
      <c r="A29" s="125">
        <v>51</v>
      </c>
      <c r="B29" s="168" t="s">
        <v>289</v>
      </c>
      <c r="C29" s="125" t="s">
        <v>238</v>
      </c>
      <c r="D29" s="172">
        <v>3</v>
      </c>
      <c r="E29" s="126">
        <v>55.03</v>
      </c>
      <c r="F29" s="126">
        <f t="shared" si="0"/>
        <v>2.7515000000000001</v>
      </c>
    </row>
    <row r="30" spans="1:6" ht="24" customHeight="1" x14ac:dyDescent="0.2">
      <c r="A30" s="407" t="s">
        <v>290</v>
      </c>
      <c r="B30" s="407"/>
      <c r="C30" s="407"/>
      <c r="D30" s="407"/>
      <c r="E30" s="407"/>
      <c r="F30" s="127">
        <f>SUM(F4:F29)</f>
        <v>13.751499999999998</v>
      </c>
    </row>
    <row r="31" spans="1:6" ht="24" customHeight="1" x14ac:dyDescent="0.2">
      <c r="A31" s="407" t="s">
        <v>434</v>
      </c>
      <c r="B31" s="407"/>
      <c r="C31" s="407"/>
      <c r="D31" s="407"/>
      <c r="E31" s="407"/>
      <c r="F31" s="127">
        <f>F30*6/28</f>
        <v>2.9467499999999993</v>
      </c>
    </row>
  </sheetData>
  <sheetProtection selectLockedCells="1" selectUnlockedCells="1"/>
  <mergeCells count="4">
    <mergeCell ref="A1:F1"/>
    <mergeCell ref="A2:F2"/>
    <mergeCell ref="A30:E30"/>
    <mergeCell ref="A31:E31"/>
  </mergeCells>
  <pageMargins left="0.74803149606299213" right="0.43307086614173229" top="1.21" bottom="0.98425196850393704" header="0.51181102362204722" footer="0.51181102362204722"/>
  <pageSetup paperSize="9" scale="104" firstPageNumber="0" orientation="portrait" horizontalDpi="300" verticalDpi="300" r:id="rId1"/>
  <headerFooter alignWithMargins="0">
    <oddHeader>&amp;L&amp;"Times New Roman,Negrito"&amp;8MPS MINISTÉRIO DA PREVIDÊNCIA SOCIAL
INSS - Instituto Nacional do Seguro Social
CGEPI Divisão de Manutenção e Engenharia de Avaliação</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789E7C-5D3A-4644-BA8A-88B2FDFC24DD}">
  <dimension ref="A1:IW27"/>
  <sheetViews>
    <sheetView view="pageBreakPreview" topLeftCell="A13" zoomScale="120" zoomScaleNormal="100" zoomScaleSheetLayoutView="120" workbookViewId="0">
      <selection activeCell="A14" sqref="A14:I14"/>
    </sheetView>
  </sheetViews>
  <sheetFormatPr defaultRowHeight="15" x14ac:dyDescent="0.2"/>
  <cols>
    <col min="1" max="1" width="6.5703125" style="2" customWidth="1"/>
    <col min="2" max="2" width="20.85546875" style="2" customWidth="1"/>
    <col min="3" max="3" width="23.140625" style="2" customWidth="1"/>
    <col min="4" max="4" width="14.5703125" style="2" customWidth="1"/>
    <col min="5" max="5" width="12.42578125" style="2" customWidth="1"/>
    <col min="6" max="6" width="12.140625" style="2" customWidth="1"/>
    <col min="7" max="7" width="15.28515625" style="2" customWidth="1"/>
    <col min="8" max="9" width="16.42578125" style="2" customWidth="1"/>
    <col min="10" max="10" width="19.140625" style="2" hidden="1" customWidth="1"/>
    <col min="11" max="11" width="14.140625" style="2" customWidth="1"/>
    <col min="12" max="12" width="11.28515625" style="2" customWidth="1"/>
    <col min="13" max="248" width="9.140625" style="2"/>
    <col min="249" max="249" width="3.28515625" style="2" customWidth="1"/>
    <col min="250" max="250" width="29" style="2" customWidth="1"/>
    <col min="251" max="251" width="14" style="2" customWidth="1"/>
    <col min="252" max="252" width="11.28515625" style="2" customWidth="1"/>
    <col min="253" max="253" width="16.7109375" style="2" customWidth="1"/>
    <col min="254" max="254" width="8.85546875" style="2" customWidth="1"/>
    <col min="255" max="255" width="29" style="2" customWidth="1"/>
    <col min="256" max="504" width="9.140625" style="2"/>
    <col min="505" max="505" width="3.28515625" style="2" customWidth="1"/>
    <col min="506" max="506" width="29" style="2" customWidth="1"/>
    <col min="507" max="507" width="14" style="2" customWidth="1"/>
    <col min="508" max="508" width="11.28515625" style="2" customWidth="1"/>
    <col min="509" max="509" width="16.7109375" style="2" customWidth="1"/>
    <col min="510" max="510" width="8.85546875" style="2" customWidth="1"/>
    <col min="511" max="511" width="29" style="2" customWidth="1"/>
    <col min="512" max="760" width="9.140625" style="2"/>
    <col min="761" max="761" width="3.28515625" style="2" customWidth="1"/>
    <col min="762" max="762" width="29" style="2" customWidth="1"/>
    <col min="763" max="763" width="14" style="2" customWidth="1"/>
    <col min="764" max="764" width="11.28515625" style="2" customWidth="1"/>
    <col min="765" max="765" width="16.7109375" style="2" customWidth="1"/>
    <col min="766" max="766" width="8.85546875" style="2" customWidth="1"/>
    <col min="767" max="767" width="29" style="2" customWidth="1"/>
    <col min="768" max="1016" width="9.140625" style="2"/>
    <col min="1017" max="1017" width="3.28515625" style="2" customWidth="1"/>
    <col min="1018" max="1018" width="29" style="2" customWidth="1"/>
    <col min="1019" max="1019" width="14" style="2" customWidth="1"/>
    <col min="1020" max="1020" width="11.28515625" style="2" customWidth="1"/>
    <col min="1021" max="1021" width="16.7109375" style="2" customWidth="1"/>
    <col min="1022" max="1022" width="8.85546875" style="2" customWidth="1"/>
    <col min="1023" max="1023" width="29" style="2" customWidth="1"/>
    <col min="1024" max="1272" width="9.140625" style="2"/>
    <col min="1273" max="1273" width="3.28515625" style="2" customWidth="1"/>
    <col min="1274" max="1274" width="29" style="2" customWidth="1"/>
    <col min="1275" max="1275" width="14" style="2" customWidth="1"/>
    <col min="1276" max="1276" width="11.28515625" style="2" customWidth="1"/>
    <col min="1277" max="1277" width="16.7109375" style="2" customWidth="1"/>
    <col min="1278" max="1278" width="8.85546875" style="2" customWidth="1"/>
    <col min="1279" max="1279" width="29" style="2" customWidth="1"/>
    <col min="1280" max="1528" width="9.140625" style="2"/>
    <col min="1529" max="1529" width="3.28515625" style="2" customWidth="1"/>
    <col min="1530" max="1530" width="29" style="2" customWidth="1"/>
    <col min="1531" max="1531" width="14" style="2" customWidth="1"/>
    <col min="1532" max="1532" width="11.28515625" style="2" customWidth="1"/>
    <col min="1533" max="1533" width="16.7109375" style="2" customWidth="1"/>
    <col min="1534" max="1534" width="8.85546875" style="2" customWidth="1"/>
    <col min="1535" max="1535" width="29" style="2" customWidth="1"/>
    <col min="1536" max="1784" width="9.140625" style="2"/>
    <col min="1785" max="1785" width="3.28515625" style="2" customWidth="1"/>
    <col min="1786" max="1786" width="29" style="2" customWidth="1"/>
    <col min="1787" max="1787" width="14" style="2" customWidth="1"/>
    <col min="1788" max="1788" width="11.28515625" style="2" customWidth="1"/>
    <col min="1789" max="1789" width="16.7109375" style="2" customWidth="1"/>
    <col min="1790" max="1790" width="8.85546875" style="2" customWidth="1"/>
    <col min="1791" max="1791" width="29" style="2" customWidth="1"/>
    <col min="1792" max="2040" width="9.140625" style="2"/>
    <col min="2041" max="2041" width="3.28515625" style="2" customWidth="1"/>
    <col min="2042" max="2042" width="29" style="2" customWidth="1"/>
    <col min="2043" max="2043" width="14" style="2" customWidth="1"/>
    <col min="2044" max="2044" width="11.28515625" style="2" customWidth="1"/>
    <col min="2045" max="2045" width="16.7109375" style="2" customWidth="1"/>
    <col min="2046" max="2046" width="8.85546875" style="2" customWidth="1"/>
    <col min="2047" max="2047" width="29" style="2" customWidth="1"/>
    <col min="2048" max="2296" width="9.140625" style="2"/>
    <col min="2297" max="2297" width="3.28515625" style="2" customWidth="1"/>
    <col min="2298" max="2298" width="29" style="2" customWidth="1"/>
    <col min="2299" max="2299" width="14" style="2" customWidth="1"/>
    <col min="2300" max="2300" width="11.28515625" style="2" customWidth="1"/>
    <col min="2301" max="2301" width="16.7109375" style="2" customWidth="1"/>
    <col min="2302" max="2302" width="8.85546875" style="2" customWidth="1"/>
    <col min="2303" max="2303" width="29" style="2" customWidth="1"/>
    <col min="2304" max="2552" width="9.140625" style="2"/>
    <col min="2553" max="2553" width="3.28515625" style="2" customWidth="1"/>
    <col min="2554" max="2554" width="29" style="2" customWidth="1"/>
    <col min="2555" max="2555" width="14" style="2" customWidth="1"/>
    <col min="2556" max="2556" width="11.28515625" style="2" customWidth="1"/>
    <col min="2557" max="2557" width="16.7109375" style="2" customWidth="1"/>
    <col min="2558" max="2558" width="8.85546875" style="2" customWidth="1"/>
    <col min="2559" max="2559" width="29" style="2" customWidth="1"/>
    <col min="2560" max="2808" width="9.140625" style="2"/>
    <col min="2809" max="2809" width="3.28515625" style="2" customWidth="1"/>
    <col min="2810" max="2810" width="29" style="2" customWidth="1"/>
    <col min="2811" max="2811" width="14" style="2" customWidth="1"/>
    <col min="2812" max="2812" width="11.28515625" style="2" customWidth="1"/>
    <col min="2813" max="2813" width="16.7109375" style="2" customWidth="1"/>
    <col min="2814" max="2814" width="8.85546875" style="2" customWidth="1"/>
    <col min="2815" max="2815" width="29" style="2" customWidth="1"/>
    <col min="2816" max="3064" width="9.140625" style="2"/>
    <col min="3065" max="3065" width="3.28515625" style="2" customWidth="1"/>
    <col min="3066" max="3066" width="29" style="2" customWidth="1"/>
    <col min="3067" max="3067" width="14" style="2" customWidth="1"/>
    <col min="3068" max="3068" width="11.28515625" style="2" customWidth="1"/>
    <col min="3069" max="3069" width="16.7109375" style="2" customWidth="1"/>
    <col min="3070" max="3070" width="8.85546875" style="2" customWidth="1"/>
    <col min="3071" max="3071" width="29" style="2" customWidth="1"/>
    <col min="3072" max="3320" width="9.140625" style="2"/>
    <col min="3321" max="3321" width="3.28515625" style="2" customWidth="1"/>
    <col min="3322" max="3322" width="29" style="2" customWidth="1"/>
    <col min="3323" max="3323" width="14" style="2" customWidth="1"/>
    <col min="3324" max="3324" width="11.28515625" style="2" customWidth="1"/>
    <col min="3325" max="3325" width="16.7109375" style="2" customWidth="1"/>
    <col min="3326" max="3326" width="8.85546875" style="2" customWidth="1"/>
    <col min="3327" max="3327" width="29" style="2" customWidth="1"/>
    <col min="3328" max="3576" width="9.140625" style="2"/>
    <col min="3577" max="3577" width="3.28515625" style="2" customWidth="1"/>
    <col min="3578" max="3578" width="29" style="2" customWidth="1"/>
    <col min="3579" max="3579" width="14" style="2" customWidth="1"/>
    <col min="3580" max="3580" width="11.28515625" style="2" customWidth="1"/>
    <col min="3581" max="3581" width="16.7109375" style="2" customWidth="1"/>
    <col min="3582" max="3582" width="8.85546875" style="2" customWidth="1"/>
    <col min="3583" max="3583" width="29" style="2" customWidth="1"/>
    <col min="3584" max="3832" width="9.140625" style="2"/>
    <col min="3833" max="3833" width="3.28515625" style="2" customWidth="1"/>
    <col min="3834" max="3834" width="29" style="2" customWidth="1"/>
    <col min="3835" max="3835" width="14" style="2" customWidth="1"/>
    <col min="3836" max="3836" width="11.28515625" style="2" customWidth="1"/>
    <col min="3837" max="3837" width="16.7109375" style="2" customWidth="1"/>
    <col min="3838" max="3838" width="8.85546875" style="2" customWidth="1"/>
    <col min="3839" max="3839" width="29" style="2" customWidth="1"/>
    <col min="3840" max="4088" width="9.140625" style="2"/>
    <col min="4089" max="4089" width="3.28515625" style="2" customWidth="1"/>
    <col min="4090" max="4090" width="29" style="2" customWidth="1"/>
    <col min="4091" max="4091" width="14" style="2" customWidth="1"/>
    <col min="4092" max="4092" width="11.28515625" style="2" customWidth="1"/>
    <col min="4093" max="4093" width="16.7109375" style="2" customWidth="1"/>
    <col min="4094" max="4094" width="8.85546875" style="2" customWidth="1"/>
    <col min="4095" max="4095" width="29" style="2" customWidth="1"/>
    <col min="4096" max="4344" width="9.140625" style="2"/>
    <col min="4345" max="4345" width="3.28515625" style="2" customWidth="1"/>
    <col min="4346" max="4346" width="29" style="2" customWidth="1"/>
    <col min="4347" max="4347" width="14" style="2" customWidth="1"/>
    <col min="4348" max="4348" width="11.28515625" style="2" customWidth="1"/>
    <col min="4349" max="4349" width="16.7109375" style="2" customWidth="1"/>
    <col min="4350" max="4350" width="8.85546875" style="2" customWidth="1"/>
    <col min="4351" max="4351" width="29" style="2" customWidth="1"/>
    <col min="4352" max="4600" width="9.140625" style="2"/>
    <col min="4601" max="4601" width="3.28515625" style="2" customWidth="1"/>
    <col min="4602" max="4602" width="29" style="2" customWidth="1"/>
    <col min="4603" max="4603" width="14" style="2" customWidth="1"/>
    <col min="4604" max="4604" width="11.28515625" style="2" customWidth="1"/>
    <col min="4605" max="4605" width="16.7109375" style="2" customWidth="1"/>
    <col min="4606" max="4606" width="8.85546875" style="2" customWidth="1"/>
    <col min="4607" max="4607" width="29" style="2" customWidth="1"/>
    <col min="4608" max="4856" width="9.140625" style="2"/>
    <col min="4857" max="4857" width="3.28515625" style="2" customWidth="1"/>
    <col min="4858" max="4858" width="29" style="2" customWidth="1"/>
    <col min="4859" max="4859" width="14" style="2" customWidth="1"/>
    <col min="4860" max="4860" width="11.28515625" style="2" customWidth="1"/>
    <col min="4861" max="4861" width="16.7109375" style="2" customWidth="1"/>
    <col min="4862" max="4862" width="8.85546875" style="2" customWidth="1"/>
    <col min="4863" max="4863" width="29" style="2" customWidth="1"/>
    <col min="4864" max="5112" width="9.140625" style="2"/>
    <col min="5113" max="5113" width="3.28515625" style="2" customWidth="1"/>
    <col min="5114" max="5114" width="29" style="2" customWidth="1"/>
    <col min="5115" max="5115" width="14" style="2" customWidth="1"/>
    <col min="5116" max="5116" width="11.28515625" style="2" customWidth="1"/>
    <col min="5117" max="5117" width="16.7109375" style="2" customWidth="1"/>
    <col min="5118" max="5118" width="8.85546875" style="2" customWidth="1"/>
    <col min="5119" max="5119" width="29" style="2" customWidth="1"/>
    <col min="5120" max="5368" width="9.140625" style="2"/>
    <col min="5369" max="5369" width="3.28515625" style="2" customWidth="1"/>
    <col min="5370" max="5370" width="29" style="2" customWidth="1"/>
    <col min="5371" max="5371" width="14" style="2" customWidth="1"/>
    <col min="5372" max="5372" width="11.28515625" style="2" customWidth="1"/>
    <col min="5373" max="5373" width="16.7109375" style="2" customWidth="1"/>
    <col min="5374" max="5374" width="8.85546875" style="2" customWidth="1"/>
    <col min="5375" max="5375" width="29" style="2" customWidth="1"/>
    <col min="5376" max="5624" width="9.140625" style="2"/>
    <col min="5625" max="5625" width="3.28515625" style="2" customWidth="1"/>
    <col min="5626" max="5626" width="29" style="2" customWidth="1"/>
    <col min="5627" max="5627" width="14" style="2" customWidth="1"/>
    <col min="5628" max="5628" width="11.28515625" style="2" customWidth="1"/>
    <col min="5629" max="5629" width="16.7109375" style="2" customWidth="1"/>
    <col min="5630" max="5630" width="8.85546875" style="2" customWidth="1"/>
    <col min="5631" max="5631" width="29" style="2" customWidth="1"/>
    <col min="5632" max="5880" width="9.140625" style="2"/>
    <col min="5881" max="5881" width="3.28515625" style="2" customWidth="1"/>
    <col min="5882" max="5882" width="29" style="2" customWidth="1"/>
    <col min="5883" max="5883" width="14" style="2" customWidth="1"/>
    <col min="5884" max="5884" width="11.28515625" style="2" customWidth="1"/>
    <col min="5885" max="5885" width="16.7109375" style="2" customWidth="1"/>
    <col min="5886" max="5886" width="8.85546875" style="2" customWidth="1"/>
    <col min="5887" max="5887" width="29" style="2" customWidth="1"/>
    <col min="5888" max="6136" width="9.140625" style="2"/>
    <col min="6137" max="6137" width="3.28515625" style="2" customWidth="1"/>
    <col min="6138" max="6138" width="29" style="2" customWidth="1"/>
    <col min="6139" max="6139" width="14" style="2" customWidth="1"/>
    <col min="6140" max="6140" width="11.28515625" style="2" customWidth="1"/>
    <col min="6141" max="6141" width="16.7109375" style="2" customWidth="1"/>
    <col min="6142" max="6142" width="8.85546875" style="2" customWidth="1"/>
    <col min="6143" max="6143" width="29" style="2" customWidth="1"/>
    <col min="6144" max="6392" width="9.140625" style="2"/>
    <col min="6393" max="6393" width="3.28515625" style="2" customWidth="1"/>
    <col min="6394" max="6394" width="29" style="2" customWidth="1"/>
    <col min="6395" max="6395" width="14" style="2" customWidth="1"/>
    <col min="6396" max="6396" width="11.28515625" style="2" customWidth="1"/>
    <col min="6397" max="6397" width="16.7109375" style="2" customWidth="1"/>
    <col min="6398" max="6398" width="8.85546875" style="2" customWidth="1"/>
    <col min="6399" max="6399" width="29" style="2" customWidth="1"/>
    <col min="6400" max="6648" width="9.140625" style="2"/>
    <col min="6649" max="6649" width="3.28515625" style="2" customWidth="1"/>
    <col min="6650" max="6650" width="29" style="2" customWidth="1"/>
    <col min="6651" max="6651" width="14" style="2" customWidth="1"/>
    <col min="6652" max="6652" width="11.28515625" style="2" customWidth="1"/>
    <col min="6653" max="6653" width="16.7109375" style="2" customWidth="1"/>
    <col min="6654" max="6654" width="8.85546875" style="2" customWidth="1"/>
    <col min="6655" max="6655" width="29" style="2" customWidth="1"/>
    <col min="6656" max="6904" width="9.140625" style="2"/>
    <col min="6905" max="6905" width="3.28515625" style="2" customWidth="1"/>
    <col min="6906" max="6906" width="29" style="2" customWidth="1"/>
    <col min="6907" max="6907" width="14" style="2" customWidth="1"/>
    <col min="6908" max="6908" width="11.28515625" style="2" customWidth="1"/>
    <col min="6909" max="6909" width="16.7109375" style="2" customWidth="1"/>
    <col min="6910" max="6910" width="8.85546875" style="2" customWidth="1"/>
    <col min="6911" max="6911" width="29" style="2" customWidth="1"/>
    <col min="6912" max="7160" width="9.140625" style="2"/>
    <col min="7161" max="7161" width="3.28515625" style="2" customWidth="1"/>
    <col min="7162" max="7162" width="29" style="2" customWidth="1"/>
    <col min="7163" max="7163" width="14" style="2" customWidth="1"/>
    <col min="7164" max="7164" width="11.28515625" style="2" customWidth="1"/>
    <col min="7165" max="7165" width="16.7109375" style="2" customWidth="1"/>
    <col min="7166" max="7166" width="8.85546875" style="2" customWidth="1"/>
    <col min="7167" max="7167" width="29" style="2" customWidth="1"/>
    <col min="7168" max="7416" width="9.140625" style="2"/>
    <col min="7417" max="7417" width="3.28515625" style="2" customWidth="1"/>
    <col min="7418" max="7418" width="29" style="2" customWidth="1"/>
    <col min="7419" max="7419" width="14" style="2" customWidth="1"/>
    <col min="7420" max="7420" width="11.28515625" style="2" customWidth="1"/>
    <col min="7421" max="7421" width="16.7109375" style="2" customWidth="1"/>
    <col min="7422" max="7422" width="8.85546875" style="2" customWidth="1"/>
    <col min="7423" max="7423" width="29" style="2" customWidth="1"/>
    <col min="7424" max="7672" width="9.140625" style="2"/>
    <col min="7673" max="7673" width="3.28515625" style="2" customWidth="1"/>
    <col min="7674" max="7674" width="29" style="2" customWidth="1"/>
    <col min="7675" max="7675" width="14" style="2" customWidth="1"/>
    <col min="7676" max="7676" width="11.28515625" style="2" customWidth="1"/>
    <col min="7677" max="7677" width="16.7109375" style="2" customWidth="1"/>
    <col min="7678" max="7678" width="8.85546875" style="2" customWidth="1"/>
    <col min="7679" max="7679" width="29" style="2" customWidth="1"/>
    <col min="7680" max="7928" width="9.140625" style="2"/>
    <col min="7929" max="7929" width="3.28515625" style="2" customWidth="1"/>
    <col min="7930" max="7930" width="29" style="2" customWidth="1"/>
    <col min="7931" max="7931" width="14" style="2" customWidth="1"/>
    <col min="7932" max="7932" width="11.28515625" style="2" customWidth="1"/>
    <col min="7933" max="7933" width="16.7109375" style="2" customWidth="1"/>
    <col min="7934" max="7934" width="8.85546875" style="2" customWidth="1"/>
    <col min="7935" max="7935" width="29" style="2" customWidth="1"/>
    <col min="7936" max="8184" width="9.140625" style="2"/>
    <col min="8185" max="8185" width="3.28515625" style="2" customWidth="1"/>
    <col min="8186" max="8186" width="29" style="2" customWidth="1"/>
    <col min="8187" max="8187" width="14" style="2" customWidth="1"/>
    <col min="8188" max="8188" width="11.28515625" style="2" customWidth="1"/>
    <col min="8189" max="8189" width="16.7109375" style="2" customWidth="1"/>
    <col min="8190" max="8190" width="8.85546875" style="2" customWidth="1"/>
    <col min="8191" max="8191" width="29" style="2" customWidth="1"/>
    <col min="8192" max="8440" width="9.140625" style="2"/>
    <col min="8441" max="8441" width="3.28515625" style="2" customWidth="1"/>
    <col min="8442" max="8442" width="29" style="2" customWidth="1"/>
    <col min="8443" max="8443" width="14" style="2" customWidth="1"/>
    <col min="8444" max="8444" width="11.28515625" style="2" customWidth="1"/>
    <col min="8445" max="8445" width="16.7109375" style="2" customWidth="1"/>
    <col min="8446" max="8446" width="8.85546875" style="2" customWidth="1"/>
    <col min="8447" max="8447" width="29" style="2" customWidth="1"/>
    <col min="8448" max="8696" width="9.140625" style="2"/>
    <col min="8697" max="8697" width="3.28515625" style="2" customWidth="1"/>
    <col min="8698" max="8698" width="29" style="2" customWidth="1"/>
    <col min="8699" max="8699" width="14" style="2" customWidth="1"/>
    <col min="8700" max="8700" width="11.28515625" style="2" customWidth="1"/>
    <col min="8701" max="8701" width="16.7109375" style="2" customWidth="1"/>
    <col min="8702" max="8702" width="8.85546875" style="2" customWidth="1"/>
    <col min="8703" max="8703" width="29" style="2" customWidth="1"/>
    <col min="8704" max="8952" width="9.140625" style="2"/>
    <col min="8953" max="8953" width="3.28515625" style="2" customWidth="1"/>
    <col min="8954" max="8954" width="29" style="2" customWidth="1"/>
    <col min="8955" max="8955" width="14" style="2" customWidth="1"/>
    <col min="8956" max="8956" width="11.28515625" style="2" customWidth="1"/>
    <col min="8957" max="8957" width="16.7109375" style="2" customWidth="1"/>
    <col min="8958" max="8958" width="8.85546875" style="2" customWidth="1"/>
    <col min="8959" max="8959" width="29" style="2" customWidth="1"/>
    <col min="8960" max="9208" width="9.140625" style="2"/>
    <col min="9209" max="9209" width="3.28515625" style="2" customWidth="1"/>
    <col min="9210" max="9210" width="29" style="2" customWidth="1"/>
    <col min="9211" max="9211" width="14" style="2" customWidth="1"/>
    <col min="9212" max="9212" width="11.28515625" style="2" customWidth="1"/>
    <col min="9213" max="9213" width="16.7109375" style="2" customWidth="1"/>
    <col min="9214" max="9214" width="8.85546875" style="2" customWidth="1"/>
    <col min="9215" max="9215" width="29" style="2" customWidth="1"/>
    <col min="9216" max="9464" width="9.140625" style="2"/>
    <col min="9465" max="9465" width="3.28515625" style="2" customWidth="1"/>
    <col min="9466" max="9466" width="29" style="2" customWidth="1"/>
    <col min="9467" max="9467" width="14" style="2" customWidth="1"/>
    <col min="9468" max="9468" width="11.28515625" style="2" customWidth="1"/>
    <col min="9469" max="9469" width="16.7109375" style="2" customWidth="1"/>
    <col min="9470" max="9470" width="8.85546875" style="2" customWidth="1"/>
    <col min="9471" max="9471" width="29" style="2" customWidth="1"/>
    <col min="9472" max="9720" width="9.140625" style="2"/>
    <col min="9721" max="9721" width="3.28515625" style="2" customWidth="1"/>
    <col min="9722" max="9722" width="29" style="2" customWidth="1"/>
    <col min="9723" max="9723" width="14" style="2" customWidth="1"/>
    <col min="9724" max="9724" width="11.28515625" style="2" customWidth="1"/>
    <col min="9725" max="9725" width="16.7109375" style="2" customWidth="1"/>
    <col min="9726" max="9726" width="8.85546875" style="2" customWidth="1"/>
    <col min="9727" max="9727" width="29" style="2" customWidth="1"/>
    <col min="9728" max="9976" width="9.140625" style="2"/>
    <col min="9977" max="9977" width="3.28515625" style="2" customWidth="1"/>
    <col min="9978" max="9978" width="29" style="2" customWidth="1"/>
    <col min="9979" max="9979" width="14" style="2" customWidth="1"/>
    <col min="9980" max="9980" width="11.28515625" style="2" customWidth="1"/>
    <col min="9981" max="9981" width="16.7109375" style="2" customWidth="1"/>
    <col min="9982" max="9982" width="8.85546875" style="2" customWidth="1"/>
    <col min="9983" max="9983" width="29" style="2" customWidth="1"/>
    <col min="9984" max="10232" width="9.140625" style="2"/>
    <col min="10233" max="10233" width="3.28515625" style="2" customWidth="1"/>
    <col min="10234" max="10234" width="29" style="2" customWidth="1"/>
    <col min="10235" max="10235" width="14" style="2" customWidth="1"/>
    <col min="10236" max="10236" width="11.28515625" style="2" customWidth="1"/>
    <col min="10237" max="10237" width="16.7109375" style="2" customWidth="1"/>
    <col min="10238" max="10238" width="8.85546875" style="2" customWidth="1"/>
    <col min="10239" max="10239" width="29" style="2" customWidth="1"/>
    <col min="10240" max="10488" width="9.140625" style="2"/>
    <col min="10489" max="10489" width="3.28515625" style="2" customWidth="1"/>
    <col min="10490" max="10490" width="29" style="2" customWidth="1"/>
    <col min="10491" max="10491" width="14" style="2" customWidth="1"/>
    <col min="10492" max="10492" width="11.28515625" style="2" customWidth="1"/>
    <col min="10493" max="10493" width="16.7109375" style="2" customWidth="1"/>
    <col min="10494" max="10494" width="8.85546875" style="2" customWidth="1"/>
    <col min="10495" max="10495" width="29" style="2" customWidth="1"/>
    <col min="10496" max="10744" width="9.140625" style="2"/>
    <col min="10745" max="10745" width="3.28515625" style="2" customWidth="1"/>
    <col min="10746" max="10746" width="29" style="2" customWidth="1"/>
    <col min="10747" max="10747" width="14" style="2" customWidth="1"/>
    <col min="10748" max="10748" width="11.28515625" style="2" customWidth="1"/>
    <col min="10749" max="10749" width="16.7109375" style="2" customWidth="1"/>
    <col min="10750" max="10750" width="8.85546875" style="2" customWidth="1"/>
    <col min="10751" max="10751" width="29" style="2" customWidth="1"/>
    <col min="10752" max="11000" width="9.140625" style="2"/>
    <col min="11001" max="11001" width="3.28515625" style="2" customWidth="1"/>
    <col min="11002" max="11002" width="29" style="2" customWidth="1"/>
    <col min="11003" max="11003" width="14" style="2" customWidth="1"/>
    <col min="11004" max="11004" width="11.28515625" style="2" customWidth="1"/>
    <col min="11005" max="11005" width="16.7109375" style="2" customWidth="1"/>
    <col min="11006" max="11006" width="8.85546875" style="2" customWidth="1"/>
    <col min="11007" max="11007" width="29" style="2" customWidth="1"/>
    <col min="11008" max="11256" width="9.140625" style="2"/>
    <col min="11257" max="11257" width="3.28515625" style="2" customWidth="1"/>
    <col min="11258" max="11258" width="29" style="2" customWidth="1"/>
    <col min="11259" max="11259" width="14" style="2" customWidth="1"/>
    <col min="11260" max="11260" width="11.28515625" style="2" customWidth="1"/>
    <col min="11261" max="11261" width="16.7109375" style="2" customWidth="1"/>
    <col min="11262" max="11262" width="8.85546875" style="2" customWidth="1"/>
    <col min="11263" max="11263" width="29" style="2" customWidth="1"/>
    <col min="11264" max="11512" width="9.140625" style="2"/>
    <col min="11513" max="11513" width="3.28515625" style="2" customWidth="1"/>
    <col min="11514" max="11514" width="29" style="2" customWidth="1"/>
    <col min="11515" max="11515" width="14" style="2" customWidth="1"/>
    <col min="11516" max="11516" width="11.28515625" style="2" customWidth="1"/>
    <col min="11517" max="11517" width="16.7109375" style="2" customWidth="1"/>
    <col min="11518" max="11518" width="8.85546875" style="2" customWidth="1"/>
    <col min="11519" max="11519" width="29" style="2" customWidth="1"/>
    <col min="11520" max="11768" width="9.140625" style="2"/>
    <col min="11769" max="11769" width="3.28515625" style="2" customWidth="1"/>
    <col min="11770" max="11770" width="29" style="2" customWidth="1"/>
    <col min="11771" max="11771" width="14" style="2" customWidth="1"/>
    <col min="11772" max="11772" width="11.28515625" style="2" customWidth="1"/>
    <col min="11773" max="11773" width="16.7109375" style="2" customWidth="1"/>
    <col min="11774" max="11774" width="8.85546875" style="2" customWidth="1"/>
    <col min="11775" max="11775" width="29" style="2" customWidth="1"/>
    <col min="11776" max="12024" width="9.140625" style="2"/>
    <col min="12025" max="12025" width="3.28515625" style="2" customWidth="1"/>
    <col min="12026" max="12026" width="29" style="2" customWidth="1"/>
    <col min="12027" max="12027" width="14" style="2" customWidth="1"/>
    <col min="12028" max="12028" width="11.28515625" style="2" customWidth="1"/>
    <col min="12029" max="12029" width="16.7109375" style="2" customWidth="1"/>
    <col min="12030" max="12030" width="8.85546875" style="2" customWidth="1"/>
    <col min="12031" max="12031" width="29" style="2" customWidth="1"/>
    <col min="12032" max="12280" width="9.140625" style="2"/>
    <col min="12281" max="12281" width="3.28515625" style="2" customWidth="1"/>
    <col min="12282" max="12282" width="29" style="2" customWidth="1"/>
    <col min="12283" max="12283" width="14" style="2" customWidth="1"/>
    <col min="12284" max="12284" width="11.28515625" style="2" customWidth="1"/>
    <col min="12285" max="12285" width="16.7109375" style="2" customWidth="1"/>
    <col min="12286" max="12286" width="8.85546875" style="2" customWidth="1"/>
    <col min="12287" max="12287" width="29" style="2" customWidth="1"/>
    <col min="12288" max="12536" width="9.140625" style="2"/>
    <col min="12537" max="12537" width="3.28515625" style="2" customWidth="1"/>
    <col min="12538" max="12538" width="29" style="2" customWidth="1"/>
    <col min="12539" max="12539" width="14" style="2" customWidth="1"/>
    <col min="12540" max="12540" width="11.28515625" style="2" customWidth="1"/>
    <col min="12541" max="12541" width="16.7109375" style="2" customWidth="1"/>
    <col min="12542" max="12542" width="8.85546875" style="2" customWidth="1"/>
    <col min="12543" max="12543" width="29" style="2" customWidth="1"/>
    <col min="12544" max="12792" width="9.140625" style="2"/>
    <col min="12793" max="12793" width="3.28515625" style="2" customWidth="1"/>
    <col min="12794" max="12794" width="29" style="2" customWidth="1"/>
    <col min="12795" max="12795" width="14" style="2" customWidth="1"/>
    <col min="12796" max="12796" width="11.28515625" style="2" customWidth="1"/>
    <col min="12797" max="12797" width="16.7109375" style="2" customWidth="1"/>
    <col min="12798" max="12798" width="8.85546875" style="2" customWidth="1"/>
    <col min="12799" max="12799" width="29" style="2" customWidth="1"/>
    <col min="12800" max="13048" width="9.140625" style="2"/>
    <col min="13049" max="13049" width="3.28515625" style="2" customWidth="1"/>
    <col min="13050" max="13050" width="29" style="2" customWidth="1"/>
    <col min="13051" max="13051" width="14" style="2" customWidth="1"/>
    <col min="13052" max="13052" width="11.28515625" style="2" customWidth="1"/>
    <col min="13053" max="13053" width="16.7109375" style="2" customWidth="1"/>
    <col min="13054" max="13054" width="8.85546875" style="2" customWidth="1"/>
    <col min="13055" max="13055" width="29" style="2" customWidth="1"/>
    <col min="13056" max="13304" width="9.140625" style="2"/>
    <col min="13305" max="13305" width="3.28515625" style="2" customWidth="1"/>
    <col min="13306" max="13306" width="29" style="2" customWidth="1"/>
    <col min="13307" max="13307" width="14" style="2" customWidth="1"/>
    <col min="13308" max="13308" width="11.28515625" style="2" customWidth="1"/>
    <col min="13309" max="13309" width="16.7109375" style="2" customWidth="1"/>
    <col min="13310" max="13310" width="8.85546875" style="2" customWidth="1"/>
    <col min="13311" max="13311" width="29" style="2" customWidth="1"/>
    <col min="13312" max="13560" width="9.140625" style="2"/>
    <col min="13561" max="13561" width="3.28515625" style="2" customWidth="1"/>
    <col min="13562" max="13562" width="29" style="2" customWidth="1"/>
    <col min="13563" max="13563" width="14" style="2" customWidth="1"/>
    <col min="13564" max="13564" width="11.28515625" style="2" customWidth="1"/>
    <col min="13565" max="13565" width="16.7109375" style="2" customWidth="1"/>
    <col min="13566" max="13566" width="8.85546875" style="2" customWidth="1"/>
    <col min="13567" max="13567" width="29" style="2" customWidth="1"/>
    <col min="13568" max="13816" width="9.140625" style="2"/>
    <col min="13817" max="13817" width="3.28515625" style="2" customWidth="1"/>
    <col min="13818" max="13818" width="29" style="2" customWidth="1"/>
    <col min="13819" max="13819" width="14" style="2" customWidth="1"/>
    <col min="13820" max="13820" width="11.28515625" style="2" customWidth="1"/>
    <col min="13821" max="13821" width="16.7109375" style="2" customWidth="1"/>
    <col min="13822" max="13822" width="8.85546875" style="2" customWidth="1"/>
    <col min="13823" max="13823" width="29" style="2" customWidth="1"/>
    <col min="13824" max="14072" width="9.140625" style="2"/>
    <col min="14073" max="14073" width="3.28515625" style="2" customWidth="1"/>
    <col min="14074" max="14074" width="29" style="2" customWidth="1"/>
    <col min="14075" max="14075" width="14" style="2" customWidth="1"/>
    <col min="14076" max="14076" width="11.28515625" style="2" customWidth="1"/>
    <col min="14077" max="14077" width="16.7109375" style="2" customWidth="1"/>
    <col min="14078" max="14078" width="8.85546875" style="2" customWidth="1"/>
    <col min="14079" max="14079" width="29" style="2" customWidth="1"/>
    <col min="14080" max="14328" width="9.140625" style="2"/>
    <col min="14329" max="14329" width="3.28515625" style="2" customWidth="1"/>
    <col min="14330" max="14330" width="29" style="2" customWidth="1"/>
    <col min="14331" max="14331" width="14" style="2" customWidth="1"/>
    <col min="14332" max="14332" width="11.28515625" style="2" customWidth="1"/>
    <col min="14333" max="14333" width="16.7109375" style="2" customWidth="1"/>
    <col min="14334" max="14334" width="8.85546875" style="2" customWidth="1"/>
    <col min="14335" max="14335" width="29" style="2" customWidth="1"/>
    <col min="14336" max="14584" width="9.140625" style="2"/>
    <col min="14585" max="14585" width="3.28515625" style="2" customWidth="1"/>
    <col min="14586" max="14586" width="29" style="2" customWidth="1"/>
    <col min="14587" max="14587" width="14" style="2" customWidth="1"/>
    <col min="14588" max="14588" width="11.28515625" style="2" customWidth="1"/>
    <col min="14589" max="14589" width="16.7109375" style="2" customWidth="1"/>
    <col min="14590" max="14590" width="8.85546875" style="2" customWidth="1"/>
    <col min="14591" max="14591" width="29" style="2" customWidth="1"/>
    <col min="14592" max="14840" width="9.140625" style="2"/>
    <col min="14841" max="14841" width="3.28515625" style="2" customWidth="1"/>
    <col min="14842" max="14842" width="29" style="2" customWidth="1"/>
    <col min="14843" max="14843" width="14" style="2" customWidth="1"/>
    <col min="14844" max="14844" width="11.28515625" style="2" customWidth="1"/>
    <col min="14845" max="14845" width="16.7109375" style="2" customWidth="1"/>
    <col min="14846" max="14846" width="8.85546875" style="2" customWidth="1"/>
    <col min="14847" max="14847" width="29" style="2" customWidth="1"/>
    <col min="14848" max="15096" width="9.140625" style="2"/>
    <col min="15097" max="15097" width="3.28515625" style="2" customWidth="1"/>
    <col min="15098" max="15098" width="29" style="2" customWidth="1"/>
    <col min="15099" max="15099" width="14" style="2" customWidth="1"/>
    <col min="15100" max="15100" width="11.28515625" style="2" customWidth="1"/>
    <col min="15101" max="15101" width="16.7109375" style="2" customWidth="1"/>
    <col min="15102" max="15102" width="8.85546875" style="2" customWidth="1"/>
    <col min="15103" max="15103" width="29" style="2" customWidth="1"/>
    <col min="15104" max="15352" width="9.140625" style="2"/>
    <col min="15353" max="15353" width="3.28515625" style="2" customWidth="1"/>
    <col min="15354" max="15354" width="29" style="2" customWidth="1"/>
    <col min="15355" max="15355" width="14" style="2" customWidth="1"/>
    <col min="15356" max="15356" width="11.28515625" style="2" customWidth="1"/>
    <col min="15357" max="15357" width="16.7109375" style="2" customWidth="1"/>
    <col min="15358" max="15358" width="8.85546875" style="2" customWidth="1"/>
    <col min="15359" max="15359" width="29" style="2" customWidth="1"/>
    <col min="15360" max="15608" width="9.140625" style="2"/>
    <col min="15609" max="15609" width="3.28515625" style="2" customWidth="1"/>
    <col min="15610" max="15610" width="29" style="2" customWidth="1"/>
    <col min="15611" max="15611" width="14" style="2" customWidth="1"/>
    <col min="15612" max="15612" width="11.28515625" style="2" customWidth="1"/>
    <col min="15613" max="15613" width="16.7109375" style="2" customWidth="1"/>
    <col min="15614" max="15614" width="8.85546875" style="2" customWidth="1"/>
    <col min="15615" max="15615" width="29" style="2" customWidth="1"/>
    <col min="15616" max="15864" width="9.140625" style="2"/>
    <col min="15865" max="15865" width="3.28515625" style="2" customWidth="1"/>
    <col min="15866" max="15866" width="29" style="2" customWidth="1"/>
    <col min="15867" max="15867" width="14" style="2" customWidth="1"/>
    <col min="15868" max="15868" width="11.28515625" style="2" customWidth="1"/>
    <col min="15869" max="15869" width="16.7109375" style="2" customWidth="1"/>
    <col min="15870" max="15870" width="8.85546875" style="2" customWidth="1"/>
    <col min="15871" max="15871" width="29" style="2" customWidth="1"/>
    <col min="15872" max="16120" width="9.140625" style="2"/>
    <col min="16121" max="16121" width="3.28515625" style="2" customWidth="1"/>
    <col min="16122" max="16122" width="29" style="2" customWidth="1"/>
    <col min="16123" max="16123" width="14" style="2" customWidth="1"/>
    <col min="16124" max="16124" width="11.28515625" style="2" customWidth="1"/>
    <col min="16125" max="16125" width="16.7109375" style="2" customWidth="1"/>
    <col min="16126" max="16126" width="8.85546875" style="2" customWidth="1"/>
    <col min="16127" max="16127" width="29" style="2" customWidth="1"/>
    <col min="16128" max="16384" width="9.140625" style="2"/>
  </cols>
  <sheetData>
    <row r="1" spans="1:257" ht="15.75" x14ac:dyDescent="0.2">
      <c r="B1" s="79"/>
      <c r="C1" s="79"/>
      <c r="D1" s="79"/>
      <c r="E1" s="79"/>
      <c r="F1" s="79"/>
      <c r="G1" s="79"/>
      <c r="H1" s="79"/>
      <c r="I1" s="79"/>
      <c r="J1" s="79"/>
    </row>
    <row r="2" spans="1:257" ht="38.25" customHeight="1" x14ac:dyDescent="0.2">
      <c r="A2" s="222" t="s">
        <v>345</v>
      </c>
      <c r="B2" s="222"/>
      <c r="C2" s="222"/>
      <c r="D2" s="222"/>
      <c r="E2" s="222"/>
      <c r="F2" s="222"/>
      <c r="G2" s="222"/>
      <c r="H2" s="222"/>
      <c r="I2" s="222"/>
      <c r="J2" s="222"/>
    </row>
    <row r="3" spans="1:257" s="63" customFormat="1" ht="30" customHeight="1" x14ac:dyDescent="0.2">
      <c r="A3" s="219" t="s">
        <v>441</v>
      </c>
      <c r="B3" s="220"/>
      <c r="C3" s="220"/>
      <c r="D3" s="220"/>
      <c r="E3" s="220"/>
      <c r="F3" s="220"/>
      <c r="G3" s="220"/>
      <c r="H3" s="220"/>
      <c r="I3" s="221"/>
      <c r="J3" s="76" t="s">
        <v>100</v>
      </c>
    </row>
    <row r="4" spans="1:257" s="63" customFormat="1" ht="45" x14ac:dyDescent="0.2">
      <c r="A4" s="72" t="s">
        <v>119</v>
      </c>
      <c r="B4" s="73" t="s">
        <v>223</v>
      </c>
      <c r="C4" s="74" t="s">
        <v>224</v>
      </c>
      <c r="D4" s="74" t="s">
        <v>225</v>
      </c>
      <c r="E4" s="74" t="s">
        <v>216</v>
      </c>
      <c r="F4" s="74" t="s">
        <v>123</v>
      </c>
      <c r="G4" s="74" t="s">
        <v>92</v>
      </c>
      <c r="H4" s="74" t="s">
        <v>93</v>
      </c>
      <c r="I4" s="74" t="s">
        <v>387</v>
      </c>
      <c r="J4" s="76" t="s">
        <v>100</v>
      </c>
    </row>
    <row r="5" spans="1:257" s="63" customFormat="1" ht="25.5" x14ac:dyDescent="0.2">
      <c r="A5" s="223">
        <v>1</v>
      </c>
      <c r="B5" s="225" t="s">
        <v>226</v>
      </c>
      <c r="C5" s="77" t="s">
        <v>230</v>
      </c>
      <c r="D5" s="77" t="s">
        <v>231</v>
      </c>
      <c r="E5" s="77">
        <v>6</v>
      </c>
      <c r="F5" s="78">
        <f>E5*2</f>
        <v>12</v>
      </c>
      <c r="G5" s="85">
        <f ca="1">Diurno!C136</f>
        <v>18924.41088389331</v>
      </c>
      <c r="H5" s="85">
        <f ca="1">G5*E5</f>
        <v>113546.46530335986</v>
      </c>
      <c r="I5" s="85">
        <f t="shared" ref="I5:I11" ca="1" si="0">H5*12</f>
        <v>1362557.5836403184</v>
      </c>
      <c r="J5" s="92"/>
      <c r="K5" s="63">
        <v>4</v>
      </c>
      <c r="L5" s="85">
        <f ca="1">K5*G5</f>
        <v>75697.643535573239</v>
      </c>
    </row>
    <row r="6" spans="1:257" s="63" customFormat="1" ht="25.5" x14ac:dyDescent="0.2">
      <c r="A6" s="224"/>
      <c r="B6" s="226"/>
      <c r="C6" s="77" t="s">
        <v>230</v>
      </c>
      <c r="D6" s="77" t="s">
        <v>419</v>
      </c>
      <c r="E6" s="77">
        <v>2</v>
      </c>
      <c r="F6" s="78">
        <v>4</v>
      </c>
      <c r="G6" s="85">
        <f ca="1">Noturno!C136</f>
        <v>20942.033192981609</v>
      </c>
      <c r="H6" s="85">
        <f ca="1">G6*E6</f>
        <v>41884.066385963219</v>
      </c>
      <c r="I6" s="85">
        <f t="shared" ca="1" si="0"/>
        <v>502608.79663155862</v>
      </c>
      <c r="J6" s="92"/>
      <c r="K6" s="63">
        <v>2</v>
      </c>
      <c r="L6" s="85">
        <f ca="1">K6*G6</f>
        <v>41884.066385963219</v>
      </c>
    </row>
    <row r="7" spans="1:257" s="63" customFormat="1" ht="25.5" x14ac:dyDescent="0.2">
      <c r="A7" s="153">
        <v>2</v>
      </c>
      <c r="B7" s="77" t="s">
        <v>227</v>
      </c>
      <c r="C7" s="77" t="s">
        <v>230</v>
      </c>
      <c r="D7" s="77" t="s">
        <v>231</v>
      </c>
      <c r="E7" s="77">
        <v>2</v>
      </c>
      <c r="F7" s="78">
        <v>4</v>
      </c>
      <c r="G7" s="85">
        <f ca="1">Diurno!C136</f>
        <v>18924.41088389331</v>
      </c>
      <c r="H7" s="85">
        <f ca="1">G7*E7</f>
        <v>37848.82176778662</v>
      </c>
      <c r="I7" s="85">
        <f t="shared" ca="1" si="0"/>
        <v>454185.86121343944</v>
      </c>
      <c r="J7" s="92"/>
      <c r="L7" s="85">
        <f ca="1">SUM(L5:L6)</f>
        <v>117581.70992153646</v>
      </c>
    </row>
    <row r="8" spans="1:257" s="63" customFormat="1" ht="25.5" x14ac:dyDescent="0.2">
      <c r="A8" s="153">
        <v>3</v>
      </c>
      <c r="B8" s="77" t="s">
        <v>228</v>
      </c>
      <c r="C8" s="77" t="s">
        <v>230</v>
      </c>
      <c r="D8" s="77" t="s">
        <v>231</v>
      </c>
      <c r="E8" s="77">
        <v>2</v>
      </c>
      <c r="F8" s="78">
        <f>E8*2</f>
        <v>4</v>
      </c>
      <c r="G8" s="85">
        <f ca="1">Diurno!C136</f>
        <v>18924.41088389331</v>
      </c>
      <c r="H8" s="85">
        <f ca="1">G8*E8</f>
        <v>37848.82176778662</v>
      </c>
      <c r="I8" s="85">
        <f t="shared" ca="1" si="0"/>
        <v>454185.86121343944</v>
      </c>
      <c r="J8" s="92"/>
      <c r="L8" s="85">
        <f ca="1">L7*25.45%</f>
        <v>29924.545175031028</v>
      </c>
    </row>
    <row r="9" spans="1:257" s="63" customFormat="1" ht="25.5" x14ac:dyDescent="0.2">
      <c r="A9" s="153">
        <v>4</v>
      </c>
      <c r="B9" s="77" t="s">
        <v>229</v>
      </c>
      <c r="C9" s="77" t="s">
        <v>230</v>
      </c>
      <c r="D9" s="77" t="s">
        <v>231</v>
      </c>
      <c r="E9" s="77">
        <v>2</v>
      </c>
      <c r="F9" s="78">
        <f>E9*2</f>
        <v>4</v>
      </c>
      <c r="G9" s="85">
        <f ca="1">Diurno!C136</f>
        <v>18924.41088389331</v>
      </c>
      <c r="H9" s="85">
        <f ca="1">G9*E9</f>
        <v>37848.82176778662</v>
      </c>
      <c r="I9" s="85">
        <f t="shared" ca="1" si="0"/>
        <v>454185.86121343944</v>
      </c>
      <c r="J9" s="92"/>
      <c r="L9" s="149">
        <f ca="1">L7-L8</f>
        <v>87657.164746505427</v>
      </c>
    </row>
    <row r="10" spans="1:257" s="63" customFormat="1" ht="18" x14ac:dyDescent="0.2">
      <c r="A10" s="153">
        <v>5</v>
      </c>
      <c r="B10" s="77"/>
      <c r="C10" s="77" t="s">
        <v>438</v>
      </c>
      <c r="D10" s="77" t="s">
        <v>231</v>
      </c>
      <c r="E10" s="77"/>
      <c r="F10" s="78">
        <v>24</v>
      </c>
      <c r="G10" s="85">
        <f>Diurno!C147</f>
        <v>860.56</v>
      </c>
      <c r="H10" s="85">
        <f>G10*F10</f>
        <v>20653.439999999999</v>
      </c>
      <c r="I10" s="85">
        <f t="shared" si="0"/>
        <v>247841.27999999997</v>
      </c>
      <c r="J10" s="92"/>
      <c r="L10" s="63">
        <f ca="1">L9*0.5%</f>
        <v>438.28582373252715</v>
      </c>
    </row>
    <row r="11" spans="1:257" s="63" customFormat="1" ht="18" x14ac:dyDescent="0.2">
      <c r="A11" s="153">
        <v>5</v>
      </c>
      <c r="B11" s="77"/>
      <c r="C11" s="77" t="s">
        <v>439</v>
      </c>
      <c r="D11" s="77" t="s">
        <v>419</v>
      </c>
      <c r="E11" s="77"/>
      <c r="F11" s="78">
        <v>4</v>
      </c>
      <c r="G11" s="85">
        <f>Noturno!C148</f>
        <v>874.10359999999991</v>
      </c>
      <c r="H11" s="85">
        <f>G11*F11</f>
        <v>3496.4143999999997</v>
      </c>
      <c r="I11" s="85">
        <f t="shared" si="0"/>
        <v>41956.972799999996</v>
      </c>
      <c r="J11" s="92"/>
    </row>
    <row r="12" spans="1:257" s="63" customFormat="1" ht="15.75" customHeight="1" x14ac:dyDescent="0.2">
      <c r="A12" s="227" t="s">
        <v>121</v>
      </c>
      <c r="B12" s="228"/>
      <c r="C12" s="228"/>
      <c r="D12" s="229"/>
      <c r="E12" s="84">
        <f>SUM(E5:E10)</f>
        <v>14</v>
      </c>
      <c r="F12" s="84">
        <f>SUM(F5:F9)</f>
        <v>28</v>
      </c>
      <c r="G12" s="93"/>
      <c r="H12" s="86">
        <f ca="1">SUM(H5:H11)</f>
        <v>293126.85139268299</v>
      </c>
      <c r="I12" s="86">
        <f ca="1">SUM(I5:I11)</f>
        <v>3517522.2167121954</v>
      </c>
      <c r="J12" s="87" t="e">
        <f>SUM(#REF!)</f>
        <v>#REF!</v>
      </c>
      <c r="K12" s="63">
        <f ca="1">H12*25.45%</f>
        <v>74600.783679437824</v>
      </c>
    </row>
    <row r="13" spans="1:257" s="63" customFormat="1" ht="15" customHeight="1" x14ac:dyDescent="0.2">
      <c r="A13" s="230"/>
      <c r="B13" s="231"/>
      <c r="C13" s="231"/>
      <c r="D13" s="231"/>
      <c r="E13" s="231"/>
      <c r="F13" s="231"/>
      <c r="G13" s="231"/>
      <c r="H13" s="231"/>
      <c r="I13" s="231"/>
      <c r="J13" s="232"/>
      <c r="K13" s="149">
        <f ca="1">H12-K12</f>
        <v>218526.06771324517</v>
      </c>
      <c r="L13" s="64"/>
      <c r="M13" s="64"/>
      <c r="N13" s="64"/>
      <c r="O13" s="64"/>
      <c r="P13" s="64"/>
      <c r="Q13" s="64"/>
      <c r="R13" s="64"/>
      <c r="S13" s="64"/>
      <c r="T13" s="64"/>
      <c r="U13" s="64"/>
      <c r="V13" s="64"/>
      <c r="W13" s="64"/>
      <c r="X13" s="64"/>
      <c r="Y13" s="64"/>
      <c r="Z13" s="64"/>
      <c r="AA13" s="64"/>
      <c r="AB13" s="64"/>
      <c r="AC13" s="64"/>
      <c r="AD13" s="64"/>
      <c r="AE13" s="64"/>
      <c r="AF13" s="64"/>
      <c r="AG13" s="64"/>
      <c r="AH13" s="64"/>
      <c r="AI13" s="64"/>
      <c r="AJ13" s="64"/>
      <c r="AK13" s="64"/>
      <c r="AL13" s="64"/>
      <c r="AM13" s="64"/>
      <c r="AN13" s="64"/>
      <c r="AO13" s="64"/>
      <c r="AP13" s="64"/>
      <c r="AQ13" s="64"/>
      <c r="AR13" s="64"/>
      <c r="AS13" s="64"/>
      <c r="AT13" s="64"/>
      <c r="AU13" s="64"/>
      <c r="AV13" s="64"/>
      <c r="AW13" s="64"/>
      <c r="AX13" s="64"/>
      <c r="AY13" s="64"/>
      <c r="AZ13" s="64"/>
      <c r="BA13" s="64"/>
      <c r="BB13" s="64"/>
      <c r="BC13" s="64"/>
      <c r="BD13" s="64"/>
      <c r="BE13" s="64"/>
      <c r="BF13" s="64"/>
      <c r="BG13" s="64"/>
      <c r="BH13" s="64"/>
      <c r="BI13" s="64"/>
      <c r="BJ13" s="64"/>
      <c r="BK13" s="64"/>
      <c r="BL13" s="64"/>
      <c r="BM13" s="64"/>
      <c r="BN13" s="64"/>
      <c r="BO13" s="64"/>
      <c r="BP13" s="64"/>
      <c r="BQ13" s="64"/>
      <c r="BR13" s="64"/>
      <c r="BS13" s="64"/>
      <c r="BT13" s="64"/>
      <c r="BU13" s="64"/>
      <c r="BV13" s="64"/>
      <c r="BW13" s="64"/>
      <c r="BX13" s="64"/>
      <c r="BY13" s="64"/>
      <c r="BZ13" s="64"/>
      <c r="CA13" s="64"/>
      <c r="CB13" s="64"/>
      <c r="CC13" s="64"/>
      <c r="CD13" s="64"/>
      <c r="CE13" s="64"/>
      <c r="CF13" s="64"/>
      <c r="CG13" s="64"/>
      <c r="CH13" s="64"/>
      <c r="CI13" s="64"/>
      <c r="CJ13" s="64"/>
      <c r="CK13" s="64"/>
      <c r="CL13" s="64"/>
      <c r="CM13" s="64"/>
      <c r="CN13" s="64"/>
      <c r="CO13" s="64"/>
      <c r="CP13" s="64"/>
      <c r="CQ13" s="64"/>
      <c r="CR13" s="64"/>
      <c r="CS13" s="64"/>
      <c r="CT13" s="64"/>
      <c r="CU13" s="64"/>
      <c r="CV13" s="64"/>
      <c r="CW13" s="64"/>
      <c r="CX13" s="64"/>
      <c r="CY13" s="64"/>
      <c r="CZ13" s="64"/>
      <c r="DA13" s="64"/>
      <c r="DB13" s="64"/>
      <c r="DC13" s="64"/>
      <c r="DD13" s="64"/>
      <c r="DE13" s="64"/>
      <c r="DF13" s="64"/>
      <c r="DG13" s="64"/>
      <c r="DH13" s="64"/>
      <c r="DI13" s="64"/>
      <c r="DJ13" s="64"/>
      <c r="DK13" s="64"/>
      <c r="DL13" s="64"/>
      <c r="DM13" s="64"/>
      <c r="DN13" s="64"/>
      <c r="DO13" s="64"/>
      <c r="DP13" s="64"/>
      <c r="DQ13" s="64"/>
      <c r="DR13" s="64"/>
      <c r="DS13" s="64"/>
      <c r="DT13" s="64"/>
      <c r="DU13" s="64"/>
      <c r="DV13" s="64"/>
      <c r="DW13" s="64"/>
      <c r="DX13" s="64"/>
      <c r="DY13" s="64"/>
      <c r="DZ13" s="64"/>
      <c r="EA13" s="64"/>
      <c r="EB13" s="64"/>
      <c r="EC13" s="64"/>
      <c r="ED13" s="64"/>
      <c r="EE13" s="64"/>
      <c r="EF13" s="64"/>
      <c r="EG13" s="64"/>
      <c r="EH13" s="64"/>
      <c r="EI13" s="64"/>
      <c r="EJ13" s="64"/>
      <c r="EK13" s="64"/>
      <c r="EL13" s="64"/>
      <c r="EM13" s="64"/>
      <c r="EN13" s="64"/>
      <c r="EO13" s="64"/>
      <c r="EP13" s="64"/>
      <c r="EQ13" s="64"/>
      <c r="ER13" s="64"/>
      <c r="ES13" s="64"/>
      <c r="ET13" s="64"/>
      <c r="EU13" s="64"/>
      <c r="EV13" s="64"/>
      <c r="EW13" s="64"/>
      <c r="EX13" s="64"/>
      <c r="EY13" s="64"/>
      <c r="EZ13" s="64"/>
      <c r="FA13" s="64"/>
      <c r="FB13" s="64"/>
      <c r="FC13" s="64"/>
      <c r="FD13" s="64"/>
      <c r="FE13" s="64"/>
      <c r="FF13" s="64"/>
      <c r="FG13" s="64"/>
      <c r="FH13" s="64"/>
      <c r="FI13" s="64"/>
      <c r="FJ13" s="64"/>
      <c r="FK13" s="64"/>
      <c r="FL13" s="64"/>
      <c r="FM13" s="64"/>
      <c r="FN13" s="64"/>
      <c r="FO13" s="64"/>
      <c r="FP13" s="64"/>
      <c r="FQ13" s="64"/>
      <c r="FR13" s="64"/>
      <c r="FS13" s="64"/>
      <c r="FT13" s="64"/>
      <c r="FU13" s="64"/>
      <c r="FV13" s="64"/>
      <c r="FW13" s="64"/>
      <c r="FX13" s="64"/>
      <c r="FY13" s="64"/>
      <c r="FZ13" s="64"/>
      <c r="GA13" s="64"/>
      <c r="GB13" s="64"/>
      <c r="GC13" s="64"/>
      <c r="GD13" s="64"/>
      <c r="GE13" s="64"/>
      <c r="GF13" s="64"/>
      <c r="GG13" s="64"/>
      <c r="GH13" s="64"/>
      <c r="GI13" s="64"/>
      <c r="GJ13" s="64"/>
      <c r="GK13" s="64"/>
      <c r="GL13" s="64"/>
      <c r="GM13" s="64"/>
      <c r="GN13" s="64"/>
      <c r="GO13" s="64"/>
      <c r="GP13" s="64"/>
      <c r="GQ13" s="64"/>
      <c r="GR13" s="64"/>
      <c r="GS13" s="64"/>
      <c r="GT13" s="64"/>
      <c r="GU13" s="64"/>
      <c r="GV13" s="64"/>
      <c r="GW13" s="64"/>
      <c r="GX13" s="64"/>
      <c r="GY13" s="64"/>
      <c r="GZ13" s="64"/>
      <c r="HA13" s="64"/>
      <c r="HB13" s="64"/>
      <c r="HC13" s="64"/>
      <c r="HD13" s="64"/>
      <c r="HE13" s="64"/>
      <c r="HF13" s="64"/>
      <c r="HG13" s="64"/>
      <c r="HH13" s="64"/>
      <c r="HI13" s="64"/>
      <c r="HJ13" s="64"/>
      <c r="HK13" s="64"/>
      <c r="HL13" s="64"/>
      <c r="HM13" s="64"/>
      <c r="HN13" s="64"/>
      <c r="HO13" s="64"/>
      <c r="HP13" s="64"/>
      <c r="HQ13" s="64"/>
      <c r="HR13" s="64"/>
      <c r="HS13" s="64"/>
      <c r="HT13" s="64"/>
      <c r="HU13" s="64"/>
      <c r="HV13" s="64"/>
      <c r="HW13" s="64"/>
      <c r="HX13" s="64"/>
      <c r="HY13" s="64"/>
      <c r="HZ13" s="64"/>
      <c r="IA13" s="64"/>
      <c r="IB13" s="64"/>
      <c r="IC13" s="64"/>
      <c r="ID13" s="64"/>
      <c r="IE13" s="64"/>
      <c r="IF13" s="64"/>
      <c r="IG13" s="64"/>
      <c r="IH13" s="64"/>
      <c r="II13" s="64"/>
      <c r="IJ13" s="64"/>
      <c r="IK13" s="64"/>
      <c r="IL13" s="64"/>
      <c r="IM13" s="64"/>
      <c r="IN13" s="64"/>
      <c r="IO13" s="64"/>
      <c r="IP13" s="64"/>
      <c r="IQ13" s="64"/>
      <c r="IR13" s="64"/>
      <c r="IS13" s="64"/>
      <c r="IT13" s="64"/>
      <c r="IU13" s="64"/>
      <c r="IV13" s="64"/>
      <c r="IW13" s="64"/>
    </row>
    <row r="14" spans="1:257" s="63" customFormat="1" ht="30" customHeight="1" x14ac:dyDescent="0.2">
      <c r="A14" s="219" t="s">
        <v>440</v>
      </c>
      <c r="B14" s="220"/>
      <c r="C14" s="220"/>
      <c r="D14" s="220"/>
      <c r="E14" s="220"/>
      <c r="F14" s="220"/>
      <c r="G14" s="220"/>
      <c r="H14" s="220"/>
      <c r="I14" s="221"/>
      <c r="J14" s="76" t="s">
        <v>100</v>
      </c>
      <c r="K14" s="63">
        <f ca="1">K13*0.5%</f>
        <v>1092.6303385662259</v>
      </c>
    </row>
    <row r="15" spans="1:257" s="63" customFormat="1" ht="45" x14ac:dyDescent="0.2">
      <c r="A15" s="72" t="s">
        <v>119</v>
      </c>
      <c r="B15" s="73" t="s">
        <v>223</v>
      </c>
      <c r="C15" s="74" t="s">
        <v>224</v>
      </c>
      <c r="D15" s="74" t="s">
        <v>225</v>
      </c>
      <c r="E15" s="74" t="s">
        <v>216</v>
      </c>
      <c r="F15" s="74" t="s">
        <v>123</v>
      </c>
      <c r="G15" s="74" t="s">
        <v>92</v>
      </c>
      <c r="H15" s="74" t="s">
        <v>93</v>
      </c>
      <c r="I15" s="74" t="s">
        <v>387</v>
      </c>
      <c r="J15" s="76" t="s">
        <v>100</v>
      </c>
      <c r="K15" s="63">
        <f ca="1">K14-436</f>
        <v>656.63033856622587</v>
      </c>
    </row>
    <row r="16" spans="1:257" s="63" customFormat="1" ht="25.5" x14ac:dyDescent="0.2">
      <c r="A16" s="223">
        <v>1</v>
      </c>
      <c r="B16" s="225" t="s">
        <v>226</v>
      </c>
      <c r="C16" s="77" t="s">
        <v>230</v>
      </c>
      <c r="D16" s="77" t="s">
        <v>231</v>
      </c>
      <c r="E16" s="77">
        <v>4</v>
      </c>
      <c r="F16" s="78">
        <f>E16*2</f>
        <v>8</v>
      </c>
      <c r="G16" s="85">
        <f ca="1">G5</f>
        <v>18924.41088389331</v>
      </c>
      <c r="H16" s="85">
        <f ca="1">G16*E16</f>
        <v>75697.643535573239</v>
      </c>
      <c r="I16" s="85">
        <f t="shared" ref="I16:I19" ca="1" si="1">H16*12</f>
        <v>908371.72242687887</v>
      </c>
      <c r="J16" s="92"/>
      <c r="K16" s="63">
        <v>4</v>
      </c>
      <c r="L16" s="85">
        <f ca="1">K16*G16</f>
        <v>75697.643535573239</v>
      </c>
    </row>
    <row r="17" spans="1:257" s="63" customFormat="1" ht="25.5" x14ac:dyDescent="0.2">
      <c r="A17" s="224"/>
      <c r="B17" s="226"/>
      <c r="C17" s="77" t="s">
        <v>230</v>
      </c>
      <c r="D17" s="77" t="s">
        <v>419</v>
      </c>
      <c r="E17" s="77">
        <v>2</v>
      </c>
      <c r="F17" s="78">
        <v>4</v>
      </c>
      <c r="G17" s="85">
        <f ca="1">G6</f>
        <v>20942.033192981609</v>
      </c>
      <c r="H17" s="85">
        <f ca="1">G17*E17</f>
        <v>41884.066385963219</v>
      </c>
      <c r="I17" s="85">
        <f t="shared" ca="1" si="1"/>
        <v>502608.79663155862</v>
      </c>
      <c r="J17" s="92"/>
      <c r="K17" s="63">
        <v>2</v>
      </c>
      <c r="L17" s="85">
        <f ca="1">K17*G17</f>
        <v>41884.066385963219</v>
      </c>
    </row>
    <row r="18" spans="1:257" s="63" customFormat="1" ht="18" x14ac:dyDescent="0.2">
      <c r="A18" s="153">
        <v>5</v>
      </c>
      <c r="B18" s="77"/>
      <c r="C18" s="77" t="s">
        <v>438</v>
      </c>
      <c r="D18" s="77" t="s">
        <v>231</v>
      </c>
      <c r="E18" s="77"/>
      <c r="F18" s="78">
        <v>8</v>
      </c>
      <c r="G18" s="85">
        <f>G10</f>
        <v>860.56</v>
      </c>
      <c r="H18" s="85">
        <f>G18*F18</f>
        <v>6884.48</v>
      </c>
      <c r="I18" s="85">
        <f t="shared" si="1"/>
        <v>82613.759999999995</v>
      </c>
      <c r="J18" s="92"/>
      <c r="L18" s="63" t="e">
        <f>#REF!*0.5%</f>
        <v>#REF!</v>
      </c>
    </row>
    <row r="19" spans="1:257" s="63" customFormat="1" ht="18" x14ac:dyDescent="0.2">
      <c r="A19" s="153">
        <v>5</v>
      </c>
      <c r="B19" s="77"/>
      <c r="C19" s="77" t="s">
        <v>439</v>
      </c>
      <c r="D19" s="77" t="s">
        <v>419</v>
      </c>
      <c r="E19" s="77"/>
      <c r="F19" s="78">
        <v>4</v>
      </c>
      <c r="G19" s="85">
        <f>G11</f>
        <v>874.10359999999991</v>
      </c>
      <c r="H19" s="85">
        <f>G19*F19-0.01</f>
        <v>3496.4043999999994</v>
      </c>
      <c r="I19" s="85">
        <f t="shared" si="1"/>
        <v>41956.852799999993</v>
      </c>
      <c r="J19" s="92"/>
    </row>
    <row r="20" spans="1:257" s="63" customFormat="1" ht="15.75" customHeight="1" x14ac:dyDescent="0.2">
      <c r="A20" s="227" t="s">
        <v>121</v>
      </c>
      <c r="B20" s="228"/>
      <c r="C20" s="228"/>
      <c r="D20" s="229"/>
      <c r="E20" s="84">
        <f>SUM(E16:E18)</f>
        <v>6</v>
      </c>
      <c r="F20" s="84">
        <f>SUM(F16:F17)</f>
        <v>12</v>
      </c>
      <c r="G20" s="93">
        <f ca="1">SUM(G16:G19)</f>
        <v>41601.107676874919</v>
      </c>
      <c r="H20" s="86">
        <f ca="1">SUM(H16:H19)</f>
        <v>127962.59432153645</v>
      </c>
      <c r="I20" s="86">
        <f ca="1">SUM(I16:I19)</f>
        <v>1535551.1318584376</v>
      </c>
      <c r="J20" s="87" t="e">
        <f>SUM(#REF!)</f>
        <v>#REF!</v>
      </c>
      <c r="K20" s="63">
        <f ca="1">H20*25.45%</f>
        <v>32566.480254831029</v>
      </c>
    </row>
    <row r="21" spans="1:257" s="63" customFormat="1" ht="18" customHeight="1" x14ac:dyDescent="0.2">
      <c r="A21" s="233" t="s">
        <v>66</v>
      </c>
      <c r="B21" s="233"/>
      <c r="C21" s="233"/>
      <c r="D21" s="233"/>
      <c r="E21" s="233"/>
      <c r="F21" s="233"/>
      <c r="G21" s="233"/>
      <c r="H21" s="233"/>
      <c r="I21" s="90">
        <f ca="1">H12</f>
        <v>293126.85139268299</v>
      </c>
      <c r="J21" s="65" t="e">
        <f>#REF!</f>
        <v>#REF!</v>
      </c>
      <c r="K21" s="149">
        <f ca="1">H20-K20</f>
        <v>95396.114066705428</v>
      </c>
      <c r="L21" s="64"/>
      <c r="M21" s="64"/>
      <c r="N21" s="64"/>
      <c r="O21" s="64"/>
      <c r="P21" s="64"/>
      <c r="Q21" s="64"/>
      <c r="R21" s="64"/>
      <c r="S21" s="64"/>
      <c r="T21" s="64"/>
      <c r="U21" s="64"/>
      <c r="V21" s="64"/>
      <c r="W21" s="64"/>
      <c r="X21" s="64"/>
      <c r="Y21" s="64"/>
      <c r="Z21" s="64"/>
      <c r="AA21" s="64"/>
      <c r="AB21" s="64"/>
      <c r="AC21" s="64"/>
      <c r="AD21" s="64"/>
      <c r="AE21" s="64"/>
      <c r="AF21" s="64"/>
      <c r="AG21" s="64"/>
      <c r="AH21" s="64"/>
      <c r="AI21" s="64"/>
      <c r="AJ21" s="64"/>
      <c r="AK21" s="64"/>
      <c r="AL21" s="64"/>
      <c r="AM21" s="64"/>
      <c r="AN21" s="64"/>
      <c r="AO21" s="64"/>
      <c r="AP21" s="64"/>
      <c r="AQ21" s="64"/>
      <c r="AR21" s="64"/>
      <c r="AS21" s="64"/>
      <c r="AT21" s="64"/>
      <c r="AU21" s="64"/>
      <c r="AV21" s="64"/>
      <c r="AW21" s="64"/>
      <c r="AX21" s="64"/>
      <c r="AY21" s="64"/>
      <c r="AZ21" s="64"/>
      <c r="BA21" s="64"/>
      <c r="BB21" s="64"/>
      <c r="BC21" s="64"/>
      <c r="BD21" s="64"/>
      <c r="BE21" s="64"/>
      <c r="BF21" s="64"/>
      <c r="BG21" s="64"/>
      <c r="BH21" s="64"/>
      <c r="BI21" s="64"/>
      <c r="BJ21" s="64"/>
      <c r="BK21" s="64"/>
      <c r="BL21" s="64"/>
      <c r="BM21" s="64"/>
      <c r="BN21" s="64"/>
      <c r="BO21" s="64"/>
      <c r="BP21" s="64"/>
      <c r="BQ21" s="64"/>
      <c r="BR21" s="64"/>
      <c r="BS21" s="64"/>
      <c r="BT21" s="64"/>
      <c r="BU21" s="64"/>
      <c r="BV21" s="64"/>
      <c r="BW21" s="64"/>
      <c r="BX21" s="64"/>
      <c r="BY21" s="64"/>
      <c r="BZ21" s="64"/>
      <c r="CA21" s="64"/>
      <c r="CB21" s="64"/>
      <c r="CC21" s="64"/>
      <c r="CD21" s="64"/>
      <c r="CE21" s="64"/>
      <c r="CF21" s="64"/>
      <c r="CG21" s="64"/>
      <c r="CH21" s="64"/>
      <c r="CI21" s="64"/>
      <c r="CJ21" s="64"/>
      <c r="CK21" s="64"/>
      <c r="CL21" s="64"/>
      <c r="CM21" s="64"/>
      <c r="CN21" s="64"/>
      <c r="CO21" s="64"/>
      <c r="CP21" s="64"/>
      <c r="CQ21" s="64"/>
      <c r="CR21" s="64"/>
      <c r="CS21" s="64"/>
      <c r="CT21" s="64"/>
      <c r="CU21" s="64"/>
      <c r="CV21" s="64"/>
      <c r="CW21" s="64"/>
      <c r="CX21" s="64"/>
      <c r="CY21" s="64"/>
      <c r="CZ21" s="64"/>
      <c r="DA21" s="64"/>
      <c r="DB21" s="64"/>
      <c r="DC21" s="64"/>
      <c r="DD21" s="64"/>
      <c r="DE21" s="64"/>
      <c r="DF21" s="64"/>
      <c r="DG21" s="64"/>
      <c r="DH21" s="64"/>
      <c r="DI21" s="64"/>
      <c r="DJ21" s="64"/>
      <c r="DK21" s="64"/>
      <c r="DL21" s="64"/>
      <c r="DM21" s="64"/>
      <c r="DN21" s="64"/>
      <c r="DO21" s="64"/>
      <c r="DP21" s="64"/>
      <c r="DQ21" s="64"/>
      <c r="DR21" s="64"/>
      <c r="DS21" s="64"/>
      <c r="DT21" s="64"/>
      <c r="DU21" s="64"/>
      <c r="DV21" s="64"/>
      <c r="DW21" s="64"/>
      <c r="DX21" s="64"/>
      <c r="DY21" s="64"/>
      <c r="DZ21" s="64"/>
      <c r="EA21" s="64"/>
      <c r="EB21" s="64"/>
      <c r="EC21" s="64"/>
      <c r="ED21" s="64"/>
      <c r="EE21" s="64"/>
      <c r="EF21" s="64"/>
      <c r="EG21" s="64"/>
      <c r="EH21" s="64"/>
      <c r="EI21" s="64"/>
      <c r="EJ21" s="64"/>
      <c r="EK21" s="64"/>
      <c r="EL21" s="64"/>
      <c r="EM21" s="64"/>
      <c r="EN21" s="64"/>
      <c r="EO21" s="64"/>
      <c r="EP21" s="64"/>
      <c r="EQ21" s="64"/>
      <c r="ER21" s="64"/>
      <c r="ES21" s="64"/>
      <c r="ET21" s="64"/>
      <c r="EU21" s="64"/>
      <c r="EV21" s="64"/>
      <c r="EW21" s="64"/>
      <c r="EX21" s="64"/>
      <c r="EY21" s="64"/>
      <c r="EZ21" s="64"/>
      <c r="FA21" s="64"/>
      <c r="FB21" s="64"/>
      <c r="FC21" s="64"/>
      <c r="FD21" s="64"/>
      <c r="FE21" s="64"/>
      <c r="FF21" s="64"/>
      <c r="FG21" s="64"/>
      <c r="FH21" s="64"/>
      <c r="FI21" s="64"/>
      <c r="FJ21" s="64"/>
      <c r="FK21" s="64"/>
      <c r="FL21" s="64"/>
      <c r="FM21" s="64"/>
      <c r="FN21" s="64"/>
      <c r="FO21" s="64"/>
      <c r="FP21" s="64"/>
      <c r="FQ21" s="64"/>
      <c r="FR21" s="64"/>
      <c r="FS21" s="64"/>
      <c r="FT21" s="64"/>
      <c r="FU21" s="64"/>
      <c r="FV21" s="64"/>
      <c r="FW21" s="64"/>
      <c r="FX21" s="64"/>
      <c r="FY21" s="64"/>
      <c r="FZ21" s="64"/>
      <c r="GA21" s="64"/>
      <c r="GB21" s="64"/>
      <c r="GC21" s="64"/>
      <c r="GD21" s="64"/>
      <c r="GE21" s="64"/>
      <c r="GF21" s="64"/>
      <c r="GG21" s="64"/>
      <c r="GH21" s="64"/>
      <c r="GI21" s="64"/>
      <c r="GJ21" s="64"/>
      <c r="GK21" s="64"/>
      <c r="GL21" s="64"/>
      <c r="GM21" s="64"/>
      <c r="GN21" s="64"/>
      <c r="GO21" s="64"/>
      <c r="GP21" s="64"/>
      <c r="GQ21" s="64"/>
      <c r="GR21" s="64"/>
      <c r="GS21" s="64"/>
      <c r="GT21" s="64"/>
      <c r="GU21" s="64"/>
      <c r="GV21" s="64"/>
      <c r="GW21" s="64"/>
      <c r="GX21" s="64"/>
      <c r="GY21" s="64"/>
      <c r="GZ21" s="64"/>
      <c r="HA21" s="64"/>
      <c r="HB21" s="64"/>
      <c r="HC21" s="64"/>
      <c r="HD21" s="64"/>
      <c r="HE21" s="64"/>
      <c r="HF21" s="64"/>
      <c r="HG21" s="64"/>
      <c r="HH21" s="64"/>
      <c r="HI21" s="64"/>
      <c r="HJ21" s="64"/>
      <c r="HK21" s="64"/>
      <c r="HL21" s="64"/>
      <c r="HM21" s="64"/>
      <c r="HN21" s="64"/>
      <c r="HO21" s="64"/>
      <c r="HP21" s="64"/>
      <c r="HQ21" s="64"/>
      <c r="HR21" s="64"/>
      <c r="HS21" s="64"/>
      <c r="HT21" s="64"/>
      <c r="HU21" s="64"/>
      <c r="HV21" s="64"/>
      <c r="HW21" s="64"/>
      <c r="HX21" s="64"/>
      <c r="HY21" s="64"/>
      <c r="HZ21" s="64"/>
      <c r="IA21" s="64"/>
      <c r="IB21" s="64"/>
      <c r="IC21" s="64"/>
      <c r="ID21" s="64"/>
      <c r="IE21" s="64"/>
      <c r="IF21" s="64"/>
      <c r="IG21" s="64"/>
      <c r="IH21" s="64"/>
      <c r="II21" s="64"/>
      <c r="IJ21" s="64"/>
      <c r="IK21" s="64"/>
      <c r="IL21" s="64"/>
      <c r="IM21" s="64"/>
      <c r="IN21" s="64"/>
      <c r="IO21" s="64"/>
      <c r="IP21" s="64"/>
      <c r="IQ21" s="64"/>
      <c r="IR21" s="64"/>
      <c r="IS21" s="64"/>
      <c r="IT21" s="64"/>
      <c r="IU21" s="64"/>
      <c r="IV21" s="64"/>
      <c r="IW21" s="64"/>
    </row>
    <row r="22" spans="1:257" s="63" customFormat="1" ht="30" customHeight="1" x14ac:dyDescent="0.2">
      <c r="A22" s="219" t="s">
        <v>442</v>
      </c>
      <c r="B22" s="220"/>
      <c r="C22" s="220"/>
      <c r="D22" s="220"/>
      <c r="E22" s="220"/>
      <c r="F22" s="220"/>
      <c r="G22" s="220"/>
      <c r="H22" s="220"/>
      <c r="I22" s="221"/>
      <c r="J22" s="76" t="s">
        <v>100</v>
      </c>
      <c r="K22" s="63">
        <f ca="1">K21*0.5%</f>
        <v>476.98057033352717</v>
      </c>
    </row>
    <row r="23" spans="1:257" s="63" customFormat="1" ht="4.5" customHeight="1" x14ac:dyDescent="0.2">
      <c r="A23" s="234"/>
      <c r="B23" s="235"/>
      <c r="C23" s="235"/>
      <c r="D23" s="235"/>
      <c r="E23" s="235"/>
      <c r="F23" s="235"/>
      <c r="G23" s="235"/>
      <c r="H23" s="235"/>
      <c r="I23" s="235"/>
      <c r="J23" s="236"/>
      <c r="K23" s="64"/>
      <c r="L23" s="64"/>
      <c r="M23" s="64"/>
      <c r="N23" s="64"/>
      <c r="O23" s="64"/>
      <c r="P23" s="64"/>
      <c r="Q23" s="64"/>
      <c r="R23" s="64"/>
      <c r="S23" s="64"/>
      <c r="T23" s="64"/>
      <c r="U23" s="64"/>
      <c r="V23" s="64"/>
      <c r="W23" s="64"/>
      <c r="X23" s="64"/>
      <c r="Y23" s="64"/>
      <c r="Z23" s="64"/>
      <c r="AA23" s="64"/>
      <c r="AB23" s="64"/>
      <c r="AC23" s="64"/>
      <c r="AD23" s="64"/>
      <c r="AE23" s="64"/>
      <c r="AF23" s="64"/>
      <c r="AG23" s="64"/>
      <c r="AH23" s="64"/>
      <c r="AI23" s="64"/>
      <c r="AJ23" s="64"/>
      <c r="AK23" s="64"/>
      <c r="AL23" s="64"/>
      <c r="AM23" s="64"/>
      <c r="AN23" s="64"/>
      <c r="AO23" s="64"/>
      <c r="AP23" s="64"/>
      <c r="AQ23" s="64"/>
      <c r="AR23" s="64"/>
      <c r="AS23" s="64"/>
      <c r="AT23" s="64"/>
      <c r="AU23" s="64"/>
      <c r="AV23" s="64"/>
      <c r="AW23" s="64"/>
      <c r="AX23" s="64"/>
      <c r="AY23" s="64"/>
      <c r="AZ23" s="64"/>
      <c r="BA23" s="64"/>
      <c r="BB23" s="64"/>
      <c r="BC23" s="64"/>
      <c r="BD23" s="64"/>
      <c r="BE23" s="64"/>
      <c r="BF23" s="64"/>
      <c r="BG23" s="64"/>
      <c r="BH23" s="64"/>
      <c r="BI23" s="64"/>
      <c r="BJ23" s="64"/>
      <c r="BK23" s="64"/>
      <c r="BL23" s="64"/>
      <c r="BM23" s="64"/>
      <c r="BN23" s="64"/>
      <c r="BO23" s="64"/>
      <c r="BP23" s="64"/>
      <c r="BQ23" s="64"/>
      <c r="BR23" s="64"/>
      <c r="BS23" s="64"/>
      <c r="BT23" s="64"/>
      <c r="BU23" s="64"/>
      <c r="BV23" s="64"/>
      <c r="BW23" s="64"/>
      <c r="BX23" s="64"/>
      <c r="BY23" s="64"/>
      <c r="BZ23" s="64"/>
      <c r="CA23" s="64"/>
      <c r="CB23" s="64"/>
      <c r="CC23" s="64"/>
      <c r="CD23" s="64"/>
      <c r="CE23" s="64"/>
      <c r="CF23" s="64"/>
      <c r="CG23" s="64"/>
      <c r="CH23" s="64"/>
      <c r="CI23" s="64"/>
      <c r="CJ23" s="64"/>
      <c r="CK23" s="64"/>
      <c r="CL23" s="64"/>
      <c r="CM23" s="64"/>
      <c r="CN23" s="64"/>
      <c r="CO23" s="64"/>
      <c r="CP23" s="64"/>
      <c r="CQ23" s="64"/>
      <c r="CR23" s="64"/>
      <c r="CS23" s="64"/>
      <c r="CT23" s="64"/>
      <c r="CU23" s="64"/>
      <c r="CV23" s="64"/>
      <c r="CW23" s="64"/>
      <c r="CX23" s="64"/>
      <c r="CY23" s="64"/>
      <c r="CZ23" s="64"/>
      <c r="DA23" s="64"/>
      <c r="DB23" s="64"/>
      <c r="DC23" s="64"/>
      <c r="DD23" s="64"/>
      <c r="DE23" s="64"/>
      <c r="DF23" s="64"/>
      <c r="DG23" s="64"/>
      <c r="DH23" s="64"/>
      <c r="DI23" s="64"/>
      <c r="DJ23" s="64"/>
      <c r="DK23" s="64"/>
      <c r="DL23" s="64"/>
      <c r="DM23" s="64"/>
      <c r="DN23" s="64"/>
      <c r="DO23" s="64"/>
      <c r="DP23" s="64"/>
      <c r="DQ23" s="64"/>
      <c r="DR23" s="64"/>
      <c r="DS23" s="64"/>
      <c r="DT23" s="64"/>
      <c r="DU23" s="64"/>
      <c r="DV23" s="64"/>
      <c r="DW23" s="64"/>
      <c r="DX23" s="64"/>
      <c r="DY23" s="64"/>
      <c r="DZ23" s="64"/>
      <c r="EA23" s="64"/>
      <c r="EB23" s="64"/>
      <c r="EC23" s="64"/>
      <c r="ED23" s="64"/>
      <c r="EE23" s="64"/>
      <c r="EF23" s="64"/>
      <c r="EG23" s="64"/>
      <c r="EH23" s="64"/>
      <c r="EI23" s="64"/>
      <c r="EJ23" s="64"/>
      <c r="EK23" s="64"/>
      <c r="EL23" s="64"/>
      <c r="EM23" s="64"/>
      <c r="EN23" s="64"/>
      <c r="EO23" s="64"/>
      <c r="EP23" s="64"/>
      <c r="EQ23" s="64"/>
      <c r="ER23" s="64"/>
      <c r="ES23" s="64"/>
      <c r="ET23" s="64"/>
      <c r="EU23" s="64"/>
      <c r="EV23" s="64"/>
      <c r="EW23" s="64"/>
      <c r="EX23" s="64"/>
      <c r="EY23" s="64"/>
      <c r="EZ23" s="64"/>
      <c r="FA23" s="64"/>
      <c r="FB23" s="64"/>
      <c r="FC23" s="64"/>
      <c r="FD23" s="64"/>
      <c r="FE23" s="64"/>
      <c r="FF23" s="64"/>
      <c r="FG23" s="64"/>
      <c r="FH23" s="64"/>
      <c r="FI23" s="64"/>
      <c r="FJ23" s="64"/>
      <c r="FK23" s="64"/>
      <c r="FL23" s="64"/>
      <c r="FM23" s="64"/>
      <c r="FN23" s="64"/>
      <c r="FO23" s="64"/>
      <c r="FP23" s="64"/>
      <c r="FQ23" s="64"/>
      <c r="FR23" s="64"/>
      <c r="FS23" s="64"/>
      <c r="FT23" s="64"/>
      <c r="FU23" s="64"/>
      <c r="FV23" s="64"/>
      <c r="FW23" s="64"/>
      <c r="FX23" s="64"/>
      <c r="FY23" s="64"/>
      <c r="FZ23" s="64"/>
      <c r="GA23" s="64"/>
      <c r="GB23" s="64"/>
      <c r="GC23" s="64"/>
      <c r="GD23" s="64"/>
      <c r="GE23" s="64"/>
      <c r="GF23" s="64"/>
      <c r="GG23" s="64"/>
      <c r="GH23" s="64"/>
      <c r="GI23" s="64"/>
      <c r="GJ23" s="64"/>
      <c r="GK23" s="64"/>
      <c r="GL23" s="64"/>
      <c r="GM23" s="64"/>
      <c r="GN23" s="64"/>
      <c r="GO23" s="64"/>
      <c r="GP23" s="64"/>
      <c r="GQ23" s="64"/>
      <c r="GR23" s="64"/>
      <c r="GS23" s="64"/>
      <c r="GT23" s="64"/>
      <c r="GU23" s="64"/>
      <c r="GV23" s="64"/>
      <c r="GW23" s="64"/>
      <c r="GX23" s="64"/>
      <c r="GY23" s="64"/>
      <c r="GZ23" s="64"/>
      <c r="HA23" s="64"/>
      <c r="HB23" s="64"/>
      <c r="HC23" s="64"/>
      <c r="HD23" s="64"/>
      <c r="HE23" s="64"/>
      <c r="HF23" s="64"/>
      <c r="HG23" s="64"/>
      <c r="HH23" s="64"/>
      <c r="HI23" s="64"/>
      <c r="HJ23" s="64"/>
      <c r="HK23" s="64"/>
      <c r="HL23" s="64"/>
      <c r="HM23" s="64"/>
      <c r="HN23" s="64"/>
      <c r="HO23" s="64"/>
      <c r="HP23" s="64"/>
      <c r="HQ23" s="64"/>
      <c r="HR23" s="64"/>
      <c r="HS23" s="64"/>
      <c r="HT23" s="64"/>
      <c r="HU23" s="64"/>
      <c r="HV23" s="64"/>
      <c r="HW23" s="64"/>
      <c r="HX23" s="64"/>
      <c r="HY23" s="64"/>
      <c r="HZ23" s="64"/>
      <c r="IA23" s="64"/>
      <c r="IB23" s="64"/>
      <c r="IC23" s="64"/>
      <c r="ID23" s="64"/>
      <c r="IE23" s="64"/>
      <c r="IF23" s="64"/>
      <c r="IG23" s="64"/>
      <c r="IH23" s="64"/>
      <c r="II23" s="64"/>
      <c r="IJ23" s="64"/>
      <c r="IK23" s="64"/>
      <c r="IL23" s="64"/>
      <c r="IM23" s="64"/>
      <c r="IN23" s="64"/>
      <c r="IO23" s="64"/>
      <c r="IP23" s="64"/>
      <c r="IQ23" s="64"/>
      <c r="IR23" s="64"/>
      <c r="IS23" s="64"/>
      <c r="IT23" s="64"/>
      <c r="IU23" s="64"/>
      <c r="IV23" s="64"/>
      <c r="IW23" s="64"/>
    </row>
    <row r="24" spans="1:257" s="63" customFormat="1" ht="19.5" customHeight="1" x14ac:dyDescent="0.2">
      <c r="A24" s="233" t="s">
        <v>67</v>
      </c>
      <c r="B24" s="233"/>
      <c r="C24" s="233"/>
      <c r="D24" s="233"/>
      <c r="E24" s="233"/>
      <c r="F24" s="233"/>
      <c r="G24" s="233"/>
      <c r="H24" s="233"/>
      <c r="I24" s="88">
        <v>12</v>
      </c>
      <c r="J24" s="66">
        <v>12</v>
      </c>
    </row>
    <row r="25" spans="1:257" s="63" customFormat="1" ht="5.25" customHeight="1" x14ac:dyDescent="0.2">
      <c r="A25" s="234"/>
      <c r="B25" s="235"/>
      <c r="C25" s="235"/>
      <c r="D25" s="235"/>
      <c r="E25" s="235"/>
      <c r="F25" s="235"/>
      <c r="G25" s="235"/>
      <c r="H25" s="235"/>
      <c r="I25" s="235"/>
      <c r="J25" s="236"/>
      <c r="K25" s="64"/>
      <c r="L25" s="64"/>
      <c r="M25" s="64"/>
      <c r="N25" s="64"/>
      <c r="O25" s="64"/>
      <c r="P25" s="64"/>
      <c r="Q25" s="64"/>
      <c r="R25" s="64"/>
      <c r="S25" s="64"/>
      <c r="T25" s="64"/>
      <c r="U25" s="64"/>
      <c r="V25" s="64"/>
      <c r="W25" s="64"/>
      <c r="X25" s="64"/>
      <c r="Y25" s="64"/>
      <c r="Z25" s="64"/>
      <c r="AA25" s="64"/>
      <c r="AB25" s="64"/>
      <c r="AC25" s="64"/>
      <c r="AD25" s="64"/>
      <c r="AE25" s="64"/>
      <c r="AF25" s="64"/>
      <c r="AG25" s="64"/>
      <c r="AH25" s="64"/>
      <c r="AI25" s="64"/>
      <c r="AJ25" s="64"/>
      <c r="AK25" s="64"/>
      <c r="AL25" s="64"/>
      <c r="AM25" s="64"/>
      <c r="AN25" s="64"/>
      <c r="AO25" s="64"/>
      <c r="AP25" s="64"/>
      <c r="AQ25" s="64"/>
      <c r="AR25" s="64"/>
      <c r="AS25" s="64"/>
      <c r="AT25" s="64"/>
      <c r="AU25" s="64"/>
      <c r="AV25" s="64"/>
      <c r="AW25" s="64"/>
      <c r="AX25" s="64"/>
      <c r="AY25" s="64"/>
      <c r="AZ25" s="64"/>
      <c r="BA25" s="64"/>
      <c r="BB25" s="64"/>
      <c r="BC25" s="64"/>
      <c r="BD25" s="64"/>
      <c r="BE25" s="64"/>
      <c r="BF25" s="64"/>
      <c r="BG25" s="64"/>
      <c r="BH25" s="64"/>
      <c r="BI25" s="64"/>
      <c r="BJ25" s="64"/>
      <c r="BK25" s="64"/>
      <c r="BL25" s="64"/>
      <c r="BM25" s="64"/>
      <c r="BN25" s="64"/>
      <c r="BO25" s="64"/>
      <c r="BP25" s="64"/>
      <c r="BQ25" s="64"/>
      <c r="BR25" s="64"/>
      <c r="BS25" s="64"/>
      <c r="BT25" s="64"/>
      <c r="BU25" s="64"/>
      <c r="BV25" s="64"/>
      <c r="BW25" s="64"/>
      <c r="BX25" s="64"/>
      <c r="BY25" s="64"/>
      <c r="BZ25" s="64"/>
      <c r="CA25" s="64"/>
      <c r="CB25" s="64"/>
      <c r="CC25" s="64"/>
      <c r="CD25" s="64"/>
      <c r="CE25" s="64"/>
      <c r="CF25" s="64"/>
      <c r="CG25" s="64"/>
      <c r="CH25" s="64"/>
      <c r="CI25" s="64"/>
      <c r="CJ25" s="64"/>
      <c r="CK25" s="64"/>
      <c r="CL25" s="64"/>
      <c r="CM25" s="64"/>
      <c r="CN25" s="64"/>
      <c r="CO25" s="64"/>
      <c r="CP25" s="64"/>
      <c r="CQ25" s="64"/>
      <c r="CR25" s="64"/>
      <c r="CS25" s="64"/>
      <c r="CT25" s="64"/>
      <c r="CU25" s="64"/>
      <c r="CV25" s="64"/>
      <c r="CW25" s="64"/>
      <c r="CX25" s="64"/>
      <c r="CY25" s="64"/>
      <c r="CZ25" s="64"/>
      <c r="DA25" s="64"/>
      <c r="DB25" s="64"/>
      <c r="DC25" s="64"/>
      <c r="DD25" s="64"/>
      <c r="DE25" s="64"/>
      <c r="DF25" s="64"/>
      <c r="DG25" s="64"/>
      <c r="DH25" s="64"/>
      <c r="DI25" s="64"/>
      <c r="DJ25" s="64"/>
      <c r="DK25" s="64"/>
      <c r="DL25" s="64"/>
      <c r="DM25" s="64"/>
      <c r="DN25" s="64"/>
      <c r="DO25" s="64"/>
      <c r="DP25" s="64"/>
      <c r="DQ25" s="64"/>
      <c r="DR25" s="64"/>
      <c r="DS25" s="64"/>
      <c r="DT25" s="64"/>
      <c r="DU25" s="64"/>
      <c r="DV25" s="64"/>
      <c r="DW25" s="64"/>
      <c r="DX25" s="64"/>
      <c r="DY25" s="64"/>
      <c r="DZ25" s="64"/>
      <c r="EA25" s="64"/>
      <c r="EB25" s="64"/>
      <c r="EC25" s="64"/>
      <c r="ED25" s="64"/>
      <c r="EE25" s="64"/>
      <c r="EF25" s="64"/>
      <c r="EG25" s="64"/>
      <c r="EH25" s="64"/>
      <c r="EI25" s="64"/>
      <c r="EJ25" s="64"/>
      <c r="EK25" s="64"/>
      <c r="EL25" s="64"/>
      <c r="EM25" s="64"/>
      <c r="EN25" s="64"/>
      <c r="EO25" s="64"/>
      <c r="EP25" s="64"/>
      <c r="EQ25" s="64"/>
      <c r="ER25" s="64"/>
      <c r="ES25" s="64"/>
      <c r="ET25" s="64"/>
      <c r="EU25" s="64"/>
      <c r="EV25" s="64"/>
      <c r="EW25" s="64"/>
      <c r="EX25" s="64"/>
      <c r="EY25" s="64"/>
      <c r="EZ25" s="64"/>
      <c r="FA25" s="64"/>
      <c r="FB25" s="64"/>
      <c r="FC25" s="64"/>
      <c r="FD25" s="64"/>
      <c r="FE25" s="64"/>
      <c r="FF25" s="64"/>
      <c r="FG25" s="64"/>
      <c r="FH25" s="64"/>
      <c r="FI25" s="64"/>
      <c r="FJ25" s="64"/>
      <c r="FK25" s="64"/>
      <c r="FL25" s="64"/>
      <c r="FM25" s="64"/>
      <c r="FN25" s="64"/>
      <c r="FO25" s="64"/>
      <c r="FP25" s="64"/>
      <c r="FQ25" s="64"/>
      <c r="FR25" s="64"/>
      <c r="FS25" s="64"/>
      <c r="FT25" s="64"/>
      <c r="FU25" s="64"/>
      <c r="FV25" s="64"/>
      <c r="FW25" s="64"/>
      <c r="FX25" s="64"/>
      <c r="FY25" s="64"/>
      <c r="FZ25" s="64"/>
      <c r="GA25" s="64"/>
      <c r="GB25" s="64"/>
      <c r="GC25" s="64"/>
      <c r="GD25" s="64"/>
      <c r="GE25" s="64"/>
      <c r="GF25" s="64"/>
      <c r="GG25" s="64"/>
      <c r="GH25" s="64"/>
      <c r="GI25" s="64"/>
      <c r="GJ25" s="64"/>
      <c r="GK25" s="64"/>
      <c r="GL25" s="64"/>
      <c r="GM25" s="64"/>
      <c r="GN25" s="64"/>
      <c r="GO25" s="64"/>
      <c r="GP25" s="64"/>
      <c r="GQ25" s="64"/>
      <c r="GR25" s="64"/>
      <c r="GS25" s="64"/>
      <c r="GT25" s="64"/>
      <c r="GU25" s="64"/>
      <c r="GV25" s="64"/>
      <c r="GW25" s="64"/>
      <c r="GX25" s="64"/>
      <c r="GY25" s="64"/>
      <c r="GZ25" s="64"/>
      <c r="HA25" s="64"/>
      <c r="HB25" s="64"/>
      <c r="HC25" s="64"/>
      <c r="HD25" s="64"/>
      <c r="HE25" s="64"/>
      <c r="HF25" s="64"/>
      <c r="HG25" s="64"/>
      <c r="HH25" s="64"/>
      <c r="HI25" s="64"/>
      <c r="HJ25" s="64"/>
      <c r="HK25" s="64"/>
      <c r="HL25" s="64"/>
      <c r="HM25" s="64"/>
      <c r="HN25" s="64"/>
      <c r="HO25" s="64"/>
      <c r="HP25" s="64"/>
      <c r="HQ25" s="64"/>
      <c r="HR25" s="64"/>
      <c r="HS25" s="64"/>
      <c r="HT25" s="64"/>
      <c r="HU25" s="64"/>
      <c r="HV25" s="64"/>
      <c r="HW25" s="64"/>
      <c r="HX25" s="64"/>
      <c r="HY25" s="64"/>
      <c r="HZ25" s="64"/>
      <c r="IA25" s="64"/>
      <c r="IB25" s="64"/>
      <c r="IC25" s="64"/>
      <c r="ID25" s="64"/>
      <c r="IE25" s="64"/>
      <c r="IF25" s="64"/>
      <c r="IG25" s="64"/>
      <c r="IH25" s="64"/>
      <c r="II25" s="64"/>
      <c r="IJ25" s="64"/>
      <c r="IK25" s="64"/>
      <c r="IL25" s="64"/>
      <c r="IM25" s="64"/>
      <c r="IN25" s="64"/>
      <c r="IO25" s="64"/>
      <c r="IP25" s="64"/>
      <c r="IQ25" s="64"/>
      <c r="IR25" s="64"/>
      <c r="IS25" s="64"/>
      <c r="IT25" s="64"/>
      <c r="IU25" s="64"/>
      <c r="IV25" s="64"/>
      <c r="IW25" s="64"/>
    </row>
    <row r="26" spans="1:257" s="63" customFormat="1" ht="15" customHeight="1" x14ac:dyDescent="0.2">
      <c r="A26" s="237" t="s">
        <v>99</v>
      </c>
      <c r="B26" s="237"/>
      <c r="C26" s="237"/>
      <c r="D26" s="237"/>
      <c r="E26" s="237"/>
      <c r="F26" s="237"/>
      <c r="G26" s="237"/>
      <c r="H26" s="237"/>
      <c r="I26" s="91">
        <f ca="1">I21*I24</f>
        <v>3517522.2167121959</v>
      </c>
      <c r="J26" s="89" t="e">
        <f>J24*J21</f>
        <v>#REF!</v>
      </c>
      <c r="K26" s="149"/>
    </row>
    <row r="27" spans="1:257" s="63" customFormat="1" ht="15" customHeight="1" x14ac:dyDescent="0.2">
      <c r="A27" s="234" t="s">
        <v>436</v>
      </c>
      <c r="B27" s="235"/>
      <c r="C27" s="235"/>
      <c r="D27" s="235"/>
      <c r="E27" s="235"/>
      <c r="F27" s="235"/>
      <c r="G27" s="235"/>
      <c r="H27" s="235"/>
      <c r="I27" s="235"/>
      <c r="J27" s="236"/>
    </row>
  </sheetData>
  <mergeCells count="17">
    <mergeCell ref="A2:J2"/>
    <mergeCell ref="A5:A6"/>
    <mergeCell ref="B5:B6"/>
    <mergeCell ref="A12:D12"/>
    <mergeCell ref="A13:J13"/>
    <mergeCell ref="A20:D20"/>
    <mergeCell ref="A3:I3"/>
    <mergeCell ref="A14:I14"/>
    <mergeCell ref="A22:I22"/>
    <mergeCell ref="A27:J27"/>
    <mergeCell ref="A21:H21"/>
    <mergeCell ref="A16:A17"/>
    <mergeCell ref="B16:B17"/>
    <mergeCell ref="A23:J23"/>
    <mergeCell ref="A24:H24"/>
    <mergeCell ref="A25:J25"/>
    <mergeCell ref="A26:H26"/>
  </mergeCells>
  <printOptions horizontalCentered="1" verticalCentered="1"/>
  <pageMargins left="0.51181102362204722" right="0.51181102362204722" top="0.78740157480314965" bottom="0.78740157480314965" header="0.31496062992125984" footer="0.31496062992125984"/>
  <pageSetup paperSize="9" scale="55"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E0C26-8A15-4204-BC5D-966712F71B6C}">
  <dimension ref="A1:IW63"/>
  <sheetViews>
    <sheetView view="pageBreakPreview" topLeftCell="A10" zoomScale="120" zoomScaleNormal="100" zoomScaleSheetLayoutView="120" workbookViewId="0">
      <selection activeCell="A30" sqref="A30:J30"/>
    </sheetView>
  </sheetViews>
  <sheetFormatPr defaultRowHeight="15" x14ac:dyDescent="0.2"/>
  <cols>
    <col min="1" max="1" width="6.5703125" style="2" customWidth="1"/>
    <col min="2" max="2" width="20.85546875" style="2" customWidth="1"/>
    <col min="3" max="3" width="23.140625" style="2" customWidth="1"/>
    <col min="4" max="4" width="14.5703125" style="2" customWidth="1"/>
    <col min="5" max="5" width="12.42578125" style="2" customWidth="1"/>
    <col min="6" max="6" width="12.140625" style="2" customWidth="1"/>
    <col min="7" max="7" width="15.28515625" style="2" customWidth="1"/>
    <col min="8" max="9" width="16.42578125" style="2" customWidth="1"/>
    <col min="10" max="10" width="19.140625" style="2" hidden="1" customWidth="1"/>
    <col min="11" max="11" width="14.140625" style="2" customWidth="1"/>
    <col min="12" max="248" width="9.140625" style="2"/>
    <col min="249" max="249" width="3.28515625" style="2" customWidth="1"/>
    <col min="250" max="250" width="29" style="2" customWidth="1"/>
    <col min="251" max="251" width="14" style="2" customWidth="1"/>
    <col min="252" max="252" width="11.28515625" style="2" customWidth="1"/>
    <col min="253" max="253" width="16.7109375" style="2" customWidth="1"/>
    <col min="254" max="254" width="8.85546875" style="2" customWidth="1"/>
    <col min="255" max="255" width="29" style="2" customWidth="1"/>
    <col min="256" max="504" width="9.140625" style="2"/>
    <col min="505" max="505" width="3.28515625" style="2" customWidth="1"/>
    <col min="506" max="506" width="29" style="2" customWidth="1"/>
    <col min="507" max="507" width="14" style="2" customWidth="1"/>
    <col min="508" max="508" width="11.28515625" style="2" customWidth="1"/>
    <col min="509" max="509" width="16.7109375" style="2" customWidth="1"/>
    <col min="510" max="510" width="8.85546875" style="2" customWidth="1"/>
    <col min="511" max="511" width="29" style="2" customWidth="1"/>
    <col min="512" max="760" width="9.140625" style="2"/>
    <col min="761" max="761" width="3.28515625" style="2" customWidth="1"/>
    <col min="762" max="762" width="29" style="2" customWidth="1"/>
    <col min="763" max="763" width="14" style="2" customWidth="1"/>
    <col min="764" max="764" width="11.28515625" style="2" customWidth="1"/>
    <col min="765" max="765" width="16.7109375" style="2" customWidth="1"/>
    <col min="766" max="766" width="8.85546875" style="2" customWidth="1"/>
    <col min="767" max="767" width="29" style="2" customWidth="1"/>
    <col min="768" max="1016" width="9.140625" style="2"/>
    <col min="1017" max="1017" width="3.28515625" style="2" customWidth="1"/>
    <col min="1018" max="1018" width="29" style="2" customWidth="1"/>
    <col min="1019" max="1019" width="14" style="2" customWidth="1"/>
    <col min="1020" max="1020" width="11.28515625" style="2" customWidth="1"/>
    <col min="1021" max="1021" width="16.7109375" style="2" customWidth="1"/>
    <col min="1022" max="1022" width="8.85546875" style="2" customWidth="1"/>
    <col min="1023" max="1023" width="29" style="2" customWidth="1"/>
    <col min="1024" max="1272" width="9.140625" style="2"/>
    <col min="1273" max="1273" width="3.28515625" style="2" customWidth="1"/>
    <col min="1274" max="1274" width="29" style="2" customWidth="1"/>
    <col min="1275" max="1275" width="14" style="2" customWidth="1"/>
    <col min="1276" max="1276" width="11.28515625" style="2" customWidth="1"/>
    <col min="1277" max="1277" width="16.7109375" style="2" customWidth="1"/>
    <col min="1278" max="1278" width="8.85546875" style="2" customWidth="1"/>
    <col min="1279" max="1279" width="29" style="2" customWidth="1"/>
    <col min="1280" max="1528" width="9.140625" style="2"/>
    <col min="1529" max="1529" width="3.28515625" style="2" customWidth="1"/>
    <col min="1530" max="1530" width="29" style="2" customWidth="1"/>
    <col min="1531" max="1531" width="14" style="2" customWidth="1"/>
    <col min="1532" max="1532" width="11.28515625" style="2" customWidth="1"/>
    <col min="1533" max="1533" width="16.7109375" style="2" customWidth="1"/>
    <col min="1534" max="1534" width="8.85546875" style="2" customWidth="1"/>
    <col min="1535" max="1535" width="29" style="2" customWidth="1"/>
    <col min="1536" max="1784" width="9.140625" style="2"/>
    <col min="1785" max="1785" width="3.28515625" style="2" customWidth="1"/>
    <col min="1786" max="1786" width="29" style="2" customWidth="1"/>
    <col min="1787" max="1787" width="14" style="2" customWidth="1"/>
    <col min="1788" max="1788" width="11.28515625" style="2" customWidth="1"/>
    <col min="1789" max="1789" width="16.7109375" style="2" customWidth="1"/>
    <col min="1790" max="1790" width="8.85546875" style="2" customWidth="1"/>
    <col min="1791" max="1791" width="29" style="2" customWidth="1"/>
    <col min="1792" max="2040" width="9.140625" style="2"/>
    <col min="2041" max="2041" width="3.28515625" style="2" customWidth="1"/>
    <col min="2042" max="2042" width="29" style="2" customWidth="1"/>
    <col min="2043" max="2043" width="14" style="2" customWidth="1"/>
    <col min="2044" max="2044" width="11.28515625" style="2" customWidth="1"/>
    <col min="2045" max="2045" width="16.7109375" style="2" customWidth="1"/>
    <col min="2046" max="2046" width="8.85546875" style="2" customWidth="1"/>
    <col min="2047" max="2047" width="29" style="2" customWidth="1"/>
    <col min="2048" max="2296" width="9.140625" style="2"/>
    <col min="2297" max="2297" width="3.28515625" style="2" customWidth="1"/>
    <col min="2298" max="2298" width="29" style="2" customWidth="1"/>
    <col min="2299" max="2299" width="14" style="2" customWidth="1"/>
    <col min="2300" max="2300" width="11.28515625" style="2" customWidth="1"/>
    <col min="2301" max="2301" width="16.7109375" style="2" customWidth="1"/>
    <col min="2302" max="2302" width="8.85546875" style="2" customWidth="1"/>
    <col min="2303" max="2303" width="29" style="2" customWidth="1"/>
    <col min="2304" max="2552" width="9.140625" style="2"/>
    <col min="2553" max="2553" width="3.28515625" style="2" customWidth="1"/>
    <col min="2554" max="2554" width="29" style="2" customWidth="1"/>
    <col min="2555" max="2555" width="14" style="2" customWidth="1"/>
    <col min="2556" max="2556" width="11.28515625" style="2" customWidth="1"/>
    <col min="2557" max="2557" width="16.7109375" style="2" customWidth="1"/>
    <col min="2558" max="2558" width="8.85546875" style="2" customWidth="1"/>
    <col min="2559" max="2559" width="29" style="2" customWidth="1"/>
    <col min="2560" max="2808" width="9.140625" style="2"/>
    <col min="2809" max="2809" width="3.28515625" style="2" customWidth="1"/>
    <col min="2810" max="2810" width="29" style="2" customWidth="1"/>
    <col min="2811" max="2811" width="14" style="2" customWidth="1"/>
    <col min="2812" max="2812" width="11.28515625" style="2" customWidth="1"/>
    <col min="2813" max="2813" width="16.7109375" style="2" customWidth="1"/>
    <col min="2814" max="2814" width="8.85546875" style="2" customWidth="1"/>
    <col min="2815" max="2815" width="29" style="2" customWidth="1"/>
    <col min="2816" max="3064" width="9.140625" style="2"/>
    <col min="3065" max="3065" width="3.28515625" style="2" customWidth="1"/>
    <col min="3066" max="3066" width="29" style="2" customWidth="1"/>
    <col min="3067" max="3067" width="14" style="2" customWidth="1"/>
    <col min="3068" max="3068" width="11.28515625" style="2" customWidth="1"/>
    <col min="3069" max="3069" width="16.7109375" style="2" customWidth="1"/>
    <col min="3070" max="3070" width="8.85546875" style="2" customWidth="1"/>
    <col min="3071" max="3071" width="29" style="2" customWidth="1"/>
    <col min="3072" max="3320" width="9.140625" style="2"/>
    <col min="3321" max="3321" width="3.28515625" style="2" customWidth="1"/>
    <col min="3322" max="3322" width="29" style="2" customWidth="1"/>
    <col min="3323" max="3323" width="14" style="2" customWidth="1"/>
    <col min="3324" max="3324" width="11.28515625" style="2" customWidth="1"/>
    <col min="3325" max="3325" width="16.7109375" style="2" customWidth="1"/>
    <col min="3326" max="3326" width="8.85546875" style="2" customWidth="1"/>
    <col min="3327" max="3327" width="29" style="2" customWidth="1"/>
    <col min="3328" max="3576" width="9.140625" style="2"/>
    <col min="3577" max="3577" width="3.28515625" style="2" customWidth="1"/>
    <col min="3578" max="3578" width="29" style="2" customWidth="1"/>
    <col min="3579" max="3579" width="14" style="2" customWidth="1"/>
    <col min="3580" max="3580" width="11.28515625" style="2" customWidth="1"/>
    <col min="3581" max="3581" width="16.7109375" style="2" customWidth="1"/>
    <col min="3582" max="3582" width="8.85546875" style="2" customWidth="1"/>
    <col min="3583" max="3583" width="29" style="2" customWidth="1"/>
    <col min="3584" max="3832" width="9.140625" style="2"/>
    <col min="3833" max="3833" width="3.28515625" style="2" customWidth="1"/>
    <col min="3834" max="3834" width="29" style="2" customWidth="1"/>
    <col min="3835" max="3835" width="14" style="2" customWidth="1"/>
    <col min="3836" max="3836" width="11.28515625" style="2" customWidth="1"/>
    <col min="3837" max="3837" width="16.7109375" style="2" customWidth="1"/>
    <col min="3838" max="3838" width="8.85546875" style="2" customWidth="1"/>
    <col min="3839" max="3839" width="29" style="2" customWidth="1"/>
    <col min="3840" max="4088" width="9.140625" style="2"/>
    <col min="4089" max="4089" width="3.28515625" style="2" customWidth="1"/>
    <col min="4090" max="4090" width="29" style="2" customWidth="1"/>
    <col min="4091" max="4091" width="14" style="2" customWidth="1"/>
    <col min="4092" max="4092" width="11.28515625" style="2" customWidth="1"/>
    <col min="4093" max="4093" width="16.7109375" style="2" customWidth="1"/>
    <col min="4094" max="4094" width="8.85546875" style="2" customWidth="1"/>
    <col min="4095" max="4095" width="29" style="2" customWidth="1"/>
    <col min="4096" max="4344" width="9.140625" style="2"/>
    <col min="4345" max="4345" width="3.28515625" style="2" customWidth="1"/>
    <col min="4346" max="4346" width="29" style="2" customWidth="1"/>
    <col min="4347" max="4347" width="14" style="2" customWidth="1"/>
    <col min="4348" max="4348" width="11.28515625" style="2" customWidth="1"/>
    <col min="4349" max="4349" width="16.7109375" style="2" customWidth="1"/>
    <col min="4350" max="4350" width="8.85546875" style="2" customWidth="1"/>
    <col min="4351" max="4351" width="29" style="2" customWidth="1"/>
    <col min="4352" max="4600" width="9.140625" style="2"/>
    <col min="4601" max="4601" width="3.28515625" style="2" customWidth="1"/>
    <col min="4602" max="4602" width="29" style="2" customWidth="1"/>
    <col min="4603" max="4603" width="14" style="2" customWidth="1"/>
    <col min="4604" max="4604" width="11.28515625" style="2" customWidth="1"/>
    <col min="4605" max="4605" width="16.7109375" style="2" customWidth="1"/>
    <col min="4606" max="4606" width="8.85546875" style="2" customWidth="1"/>
    <col min="4607" max="4607" width="29" style="2" customWidth="1"/>
    <col min="4608" max="4856" width="9.140625" style="2"/>
    <col min="4857" max="4857" width="3.28515625" style="2" customWidth="1"/>
    <col min="4858" max="4858" width="29" style="2" customWidth="1"/>
    <col min="4859" max="4859" width="14" style="2" customWidth="1"/>
    <col min="4860" max="4860" width="11.28515625" style="2" customWidth="1"/>
    <col min="4861" max="4861" width="16.7109375" style="2" customWidth="1"/>
    <col min="4862" max="4862" width="8.85546875" style="2" customWidth="1"/>
    <col min="4863" max="4863" width="29" style="2" customWidth="1"/>
    <col min="4864" max="5112" width="9.140625" style="2"/>
    <col min="5113" max="5113" width="3.28515625" style="2" customWidth="1"/>
    <col min="5114" max="5114" width="29" style="2" customWidth="1"/>
    <col min="5115" max="5115" width="14" style="2" customWidth="1"/>
    <col min="5116" max="5116" width="11.28515625" style="2" customWidth="1"/>
    <col min="5117" max="5117" width="16.7109375" style="2" customWidth="1"/>
    <col min="5118" max="5118" width="8.85546875" style="2" customWidth="1"/>
    <col min="5119" max="5119" width="29" style="2" customWidth="1"/>
    <col min="5120" max="5368" width="9.140625" style="2"/>
    <col min="5369" max="5369" width="3.28515625" style="2" customWidth="1"/>
    <col min="5370" max="5370" width="29" style="2" customWidth="1"/>
    <col min="5371" max="5371" width="14" style="2" customWidth="1"/>
    <col min="5372" max="5372" width="11.28515625" style="2" customWidth="1"/>
    <col min="5373" max="5373" width="16.7109375" style="2" customWidth="1"/>
    <col min="5374" max="5374" width="8.85546875" style="2" customWidth="1"/>
    <col min="5375" max="5375" width="29" style="2" customWidth="1"/>
    <col min="5376" max="5624" width="9.140625" style="2"/>
    <col min="5625" max="5625" width="3.28515625" style="2" customWidth="1"/>
    <col min="5626" max="5626" width="29" style="2" customWidth="1"/>
    <col min="5627" max="5627" width="14" style="2" customWidth="1"/>
    <col min="5628" max="5628" width="11.28515625" style="2" customWidth="1"/>
    <col min="5629" max="5629" width="16.7109375" style="2" customWidth="1"/>
    <col min="5630" max="5630" width="8.85546875" style="2" customWidth="1"/>
    <col min="5631" max="5631" width="29" style="2" customWidth="1"/>
    <col min="5632" max="5880" width="9.140625" style="2"/>
    <col min="5881" max="5881" width="3.28515625" style="2" customWidth="1"/>
    <col min="5882" max="5882" width="29" style="2" customWidth="1"/>
    <col min="5883" max="5883" width="14" style="2" customWidth="1"/>
    <col min="5884" max="5884" width="11.28515625" style="2" customWidth="1"/>
    <col min="5885" max="5885" width="16.7109375" style="2" customWidth="1"/>
    <col min="5886" max="5886" width="8.85546875" style="2" customWidth="1"/>
    <col min="5887" max="5887" width="29" style="2" customWidth="1"/>
    <col min="5888" max="6136" width="9.140625" style="2"/>
    <col min="6137" max="6137" width="3.28515625" style="2" customWidth="1"/>
    <col min="6138" max="6138" width="29" style="2" customWidth="1"/>
    <col min="6139" max="6139" width="14" style="2" customWidth="1"/>
    <col min="6140" max="6140" width="11.28515625" style="2" customWidth="1"/>
    <col min="6141" max="6141" width="16.7109375" style="2" customWidth="1"/>
    <col min="6142" max="6142" width="8.85546875" style="2" customWidth="1"/>
    <col min="6143" max="6143" width="29" style="2" customWidth="1"/>
    <col min="6144" max="6392" width="9.140625" style="2"/>
    <col min="6393" max="6393" width="3.28515625" style="2" customWidth="1"/>
    <col min="6394" max="6394" width="29" style="2" customWidth="1"/>
    <col min="6395" max="6395" width="14" style="2" customWidth="1"/>
    <col min="6396" max="6396" width="11.28515625" style="2" customWidth="1"/>
    <col min="6397" max="6397" width="16.7109375" style="2" customWidth="1"/>
    <col min="6398" max="6398" width="8.85546875" style="2" customWidth="1"/>
    <col min="6399" max="6399" width="29" style="2" customWidth="1"/>
    <col min="6400" max="6648" width="9.140625" style="2"/>
    <col min="6649" max="6649" width="3.28515625" style="2" customWidth="1"/>
    <col min="6650" max="6650" width="29" style="2" customWidth="1"/>
    <col min="6651" max="6651" width="14" style="2" customWidth="1"/>
    <col min="6652" max="6652" width="11.28515625" style="2" customWidth="1"/>
    <col min="6653" max="6653" width="16.7109375" style="2" customWidth="1"/>
    <col min="6654" max="6654" width="8.85546875" style="2" customWidth="1"/>
    <col min="6655" max="6655" width="29" style="2" customWidth="1"/>
    <col min="6656" max="6904" width="9.140625" style="2"/>
    <col min="6905" max="6905" width="3.28515625" style="2" customWidth="1"/>
    <col min="6906" max="6906" width="29" style="2" customWidth="1"/>
    <col min="6907" max="6907" width="14" style="2" customWidth="1"/>
    <col min="6908" max="6908" width="11.28515625" style="2" customWidth="1"/>
    <col min="6909" max="6909" width="16.7109375" style="2" customWidth="1"/>
    <col min="6910" max="6910" width="8.85546875" style="2" customWidth="1"/>
    <col min="6911" max="6911" width="29" style="2" customWidth="1"/>
    <col min="6912" max="7160" width="9.140625" style="2"/>
    <col min="7161" max="7161" width="3.28515625" style="2" customWidth="1"/>
    <col min="7162" max="7162" width="29" style="2" customWidth="1"/>
    <col min="7163" max="7163" width="14" style="2" customWidth="1"/>
    <col min="7164" max="7164" width="11.28515625" style="2" customWidth="1"/>
    <col min="7165" max="7165" width="16.7109375" style="2" customWidth="1"/>
    <col min="7166" max="7166" width="8.85546875" style="2" customWidth="1"/>
    <col min="7167" max="7167" width="29" style="2" customWidth="1"/>
    <col min="7168" max="7416" width="9.140625" style="2"/>
    <col min="7417" max="7417" width="3.28515625" style="2" customWidth="1"/>
    <col min="7418" max="7418" width="29" style="2" customWidth="1"/>
    <col min="7419" max="7419" width="14" style="2" customWidth="1"/>
    <col min="7420" max="7420" width="11.28515625" style="2" customWidth="1"/>
    <col min="7421" max="7421" width="16.7109375" style="2" customWidth="1"/>
    <col min="7422" max="7422" width="8.85546875" style="2" customWidth="1"/>
    <col min="7423" max="7423" width="29" style="2" customWidth="1"/>
    <col min="7424" max="7672" width="9.140625" style="2"/>
    <col min="7673" max="7673" width="3.28515625" style="2" customWidth="1"/>
    <col min="7674" max="7674" width="29" style="2" customWidth="1"/>
    <col min="7675" max="7675" width="14" style="2" customWidth="1"/>
    <col min="7676" max="7676" width="11.28515625" style="2" customWidth="1"/>
    <col min="7677" max="7677" width="16.7109375" style="2" customWidth="1"/>
    <col min="7678" max="7678" width="8.85546875" style="2" customWidth="1"/>
    <col min="7679" max="7679" width="29" style="2" customWidth="1"/>
    <col min="7680" max="7928" width="9.140625" style="2"/>
    <col min="7929" max="7929" width="3.28515625" style="2" customWidth="1"/>
    <col min="7930" max="7930" width="29" style="2" customWidth="1"/>
    <col min="7931" max="7931" width="14" style="2" customWidth="1"/>
    <col min="7932" max="7932" width="11.28515625" style="2" customWidth="1"/>
    <col min="7933" max="7933" width="16.7109375" style="2" customWidth="1"/>
    <col min="7934" max="7934" width="8.85546875" style="2" customWidth="1"/>
    <col min="7935" max="7935" width="29" style="2" customWidth="1"/>
    <col min="7936" max="8184" width="9.140625" style="2"/>
    <col min="8185" max="8185" width="3.28515625" style="2" customWidth="1"/>
    <col min="8186" max="8186" width="29" style="2" customWidth="1"/>
    <col min="8187" max="8187" width="14" style="2" customWidth="1"/>
    <col min="8188" max="8188" width="11.28515625" style="2" customWidth="1"/>
    <col min="8189" max="8189" width="16.7109375" style="2" customWidth="1"/>
    <col min="8190" max="8190" width="8.85546875" style="2" customWidth="1"/>
    <col min="8191" max="8191" width="29" style="2" customWidth="1"/>
    <col min="8192" max="8440" width="9.140625" style="2"/>
    <col min="8441" max="8441" width="3.28515625" style="2" customWidth="1"/>
    <col min="8442" max="8442" width="29" style="2" customWidth="1"/>
    <col min="8443" max="8443" width="14" style="2" customWidth="1"/>
    <col min="8444" max="8444" width="11.28515625" style="2" customWidth="1"/>
    <col min="8445" max="8445" width="16.7109375" style="2" customWidth="1"/>
    <col min="8446" max="8446" width="8.85546875" style="2" customWidth="1"/>
    <col min="8447" max="8447" width="29" style="2" customWidth="1"/>
    <col min="8448" max="8696" width="9.140625" style="2"/>
    <col min="8697" max="8697" width="3.28515625" style="2" customWidth="1"/>
    <col min="8698" max="8698" width="29" style="2" customWidth="1"/>
    <col min="8699" max="8699" width="14" style="2" customWidth="1"/>
    <col min="8700" max="8700" width="11.28515625" style="2" customWidth="1"/>
    <col min="8701" max="8701" width="16.7109375" style="2" customWidth="1"/>
    <col min="8702" max="8702" width="8.85546875" style="2" customWidth="1"/>
    <col min="8703" max="8703" width="29" style="2" customWidth="1"/>
    <col min="8704" max="8952" width="9.140625" style="2"/>
    <col min="8953" max="8953" width="3.28515625" style="2" customWidth="1"/>
    <col min="8954" max="8954" width="29" style="2" customWidth="1"/>
    <col min="8955" max="8955" width="14" style="2" customWidth="1"/>
    <col min="8956" max="8956" width="11.28515625" style="2" customWidth="1"/>
    <col min="8957" max="8957" width="16.7109375" style="2" customWidth="1"/>
    <col min="8958" max="8958" width="8.85546875" style="2" customWidth="1"/>
    <col min="8959" max="8959" width="29" style="2" customWidth="1"/>
    <col min="8960" max="9208" width="9.140625" style="2"/>
    <col min="9209" max="9209" width="3.28515625" style="2" customWidth="1"/>
    <col min="9210" max="9210" width="29" style="2" customWidth="1"/>
    <col min="9211" max="9211" width="14" style="2" customWidth="1"/>
    <col min="9212" max="9212" width="11.28515625" style="2" customWidth="1"/>
    <col min="9213" max="9213" width="16.7109375" style="2" customWidth="1"/>
    <col min="9214" max="9214" width="8.85546875" style="2" customWidth="1"/>
    <col min="9215" max="9215" width="29" style="2" customWidth="1"/>
    <col min="9216" max="9464" width="9.140625" style="2"/>
    <col min="9465" max="9465" width="3.28515625" style="2" customWidth="1"/>
    <col min="9466" max="9466" width="29" style="2" customWidth="1"/>
    <col min="9467" max="9467" width="14" style="2" customWidth="1"/>
    <col min="9468" max="9468" width="11.28515625" style="2" customWidth="1"/>
    <col min="9469" max="9469" width="16.7109375" style="2" customWidth="1"/>
    <col min="9470" max="9470" width="8.85546875" style="2" customWidth="1"/>
    <col min="9471" max="9471" width="29" style="2" customWidth="1"/>
    <col min="9472" max="9720" width="9.140625" style="2"/>
    <col min="9721" max="9721" width="3.28515625" style="2" customWidth="1"/>
    <col min="9722" max="9722" width="29" style="2" customWidth="1"/>
    <col min="9723" max="9723" width="14" style="2" customWidth="1"/>
    <col min="9724" max="9724" width="11.28515625" style="2" customWidth="1"/>
    <col min="9725" max="9725" width="16.7109375" style="2" customWidth="1"/>
    <col min="9726" max="9726" width="8.85546875" style="2" customWidth="1"/>
    <col min="9727" max="9727" width="29" style="2" customWidth="1"/>
    <col min="9728" max="9976" width="9.140625" style="2"/>
    <col min="9977" max="9977" width="3.28515625" style="2" customWidth="1"/>
    <col min="9978" max="9978" width="29" style="2" customWidth="1"/>
    <col min="9979" max="9979" width="14" style="2" customWidth="1"/>
    <col min="9980" max="9980" width="11.28515625" style="2" customWidth="1"/>
    <col min="9981" max="9981" width="16.7109375" style="2" customWidth="1"/>
    <col min="9982" max="9982" width="8.85546875" style="2" customWidth="1"/>
    <col min="9983" max="9983" width="29" style="2" customWidth="1"/>
    <col min="9984" max="10232" width="9.140625" style="2"/>
    <col min="10233" max="10233" width="3.28515625" style="2" customWidth="1"/>
    <col min="10234" max="10234" width="29" style="2" customWidth="1"/>
    <col min="10235" max="10235" width="14" style="2" customWidth="1"/>
    <col min="10236" max="10236" width="11.28515625" style="2" customWidth="1"/>
    <col min="10237" max="10237" width="16.7109375" style="2" customWidth="1"/>
    <col min="10238" max="10238" width="8.85546875" style="2" customWidth="1"/>
    <col min="10239" max="10239" width="29" style="2" customWidth="1"/>
    <col min="10240" max="10488" width="9.140625" style="2"/>
    <col min="10489" max="10489" width="3.28515625" style="2" customWidth="1"/>
    <col min="10490" max="10490" width="29" style="2" customWidth="1"/>
    <col min="10491" max="10491" width="14" style="2" customWidth="1"/>
    <col min="10492" max="10492" width="11.28515625" style="2" customWidth="1"/>
    <col min="10493" max="10493" width="16.7109375" style="2" customWidth="1"/>
    <col min="10494" max="10494" width="8.85546875" style="2" customWidth="1"/>
    <col min="10495" max="10495" width="29" style="2" customWidth="1"/>
    <col min="10496" max="10744" width="9.140625" style="2"/>
    <col min="10745" max="10745" width="3.28515625" style="2" customWidth="1"/>
    <col min="10746" max="10746" width="29" style="2" customWidth="1"/>
    <col min="10747" max="10747" width="14" style="2" customWidth="1"/>
    <col min="10748" max="10748" width="11.28515625" style="2" customWidth="1"/>
    <col min="10749" max="10749" width="16.7109375" style="2" customWidth="1"/>
    <col min="10750" max="10750" width="8.85546875" style="2" customWidth="1"/>
    <col min="10751" max="10751" width="29" style="2" customWidth="1"/>
    <col min="10752" max="11000" width="9.140625" style="2"/>
    <col min="11001" max="11001" width="3.28515625" style="2" customWidth="1"/>
    <col min="11002" max="11002" width="29" style="2" customWidth="1"/>
    <col min="11003" max="11003" width="14" style="2" customWidth="1"/>
    <col min="11004" max="11004" width="11.28515625" style="2" customWidth="1"/>
    <col min="11005" max="11005" width="16.7109375" style="2" customWidth="1"/>
    <col min="11006" max="11006" width="8.85546875" style="2" customWidth="1"/>
    <col min="11007" max="11007" width="29" style="2" customWidth="1"/>
    <col min="11008" max="11256" width="9.140625" style="2"/>
    <col min="11257" max="11257" width="3.28515625" style="2" customWidth="1"/>
    <col min="11258" max="11258" width="29" style="2" customWidth="1"/>
    <col min="11259" max="11259" width="14" style="2" customWidth="1"/>
    <col min="11260" max="11260" width="11.28515625" style="2" customWidth="1"/>
    <col min="11261" max="11261" width="16.7109375" style="2" customWidth="1"/>
    <col min="11262" max="11262" width="8.85546875" style="2" customWidth="1"/>
    <col min="11263" max="11263" width="29" style="2" customWidth="1"/>
    <col min="11264" max="11512" width="9.140625" style="2"/>
    <col min="11513" max="11513" width="3.28515625" style="2" customWidth="1"/>
    <col min="11514" max="11514" width="29" style="2" customWidth="1"/>
    <col min="11515" max="11515" width="14" style="2" customWidth="1"/>
    <col min="11516" max="11516" width="11.28515625" style="2" customWidth="1"/>
    <col min="11517" max="11517" width="16.7109375" style="2" customWidth="1"/>
    <col min="11518" max="11518" width="8.85546875" style="2" customWidth="1"/>
    <col min="11519" max="11519" width="29" style="2" customWidth="1"/>
    <col min="11520" max="11768" width="9.140625" style="2"/>
    <col min="11769" max="11769" width="3.28515625" style="2" customWidth="1"/>
    <col min="11770" max="11770" width="29" style="2" customWidth="1"/>
    <col min="11771" max="11771" width="14" style="2" customWidth="1"/>
    <col min="11772" max="11772" width="11.28515625" style="2" customWidth="1"/>
    <col min="11773" max="11773" width="16.7109375" style="2" customWidth="1"/>
    <col min="11774" max="11774" width="8.85546875" style="2" customWidth="1"/>
    <col min="11775" max="11775" width="29" style="2" customWidth="1"/>
    <col min="11776" max="12024" width="9.140625" style="2"/>
    <col min="12025" max="12025" width="3.28515625" style="2" customWidth="1"/>
    <col min="12026" max="12026" width="29" style="2" customWidth="1"/>
    <col min="12027" max="12027" width="14" style="2" customWidth="1"/>
    <col min="12028" max="12028" width="11.28515625" style="2" customWidth="1"/>
    <col min="12029" max="12029" width="16.7109375" style="2" customWidth="1"/>
    <col min="12030" max="12030" width="8.85546875" style="2" customWidth="1"/>
    <col min="12031" max="12031" width="29" style="2" customWidth="1"/>
    <col min="12032" max="12280" width="9.140625" style="2"/>
    <col min="12281" max="12281" width="3.28515625" style="2" customWidth="1"/>
    <col min="12282" max="12282" width="29" style="2" customWidth="1"/>
    <col min="12283" max="12283" width="14" style="2" customWidth="1"/>
    <col min="12284" max="12284" width="11.28515625" style="2" customWidth="1"/>
    <col min="12285" max="12285" width="16.7109375" style="2" customWidth="1"/>
    <col min="12286" max="12286" width="8.85546875" style="2" customWidth="1"/>
    <col min="12287" max="12287" width="29" style="2" customWidth="1"/>
    <col min="12288" max="12536" width="9.140625" style="2"/>
    <col min="12537" max="12537" width="3.28515625" style="2" customWidth="1"/>
    <col min="12538" max="12538" width="29" style="2" customWidth="1"/>
    <col min="12539" max="12539" width="14" style="2" customWidth="1"/>
    <col min="12540" max="12540" width="11.28515625" style="2" customWidth="1"/>
    <col min="12541" max="12541" width="16.7109375" style="2" customWidth="1"/>
    <col min="12542" max="12542" width="8.85546875" style="2" customWidth="1"/>
    <col min="12543" max="12543" width="29" style="2" customWidth="1"/>
    <col min="12544" max="12792" width="9.140625" style="2"/>
    <col min="12793" max="12793" width="3.28515625" style="2" customWidth="1"/>
    <col min="12794" max="12794" width="29" style="2" customWidth="1"/>
    <col min="12795" max="12795" width="14" style="2" customWidth="1"/>
    <col min="12796" max="12796" width="11.28515625" style="2" customWidth="1"/>
    <col min="12797" max="12797" width="16.7109375" style="2" customWidth="1"/>
    <col min="12798" max="12798" width="8.85546875" style="2" customWidth="1"/>
    <col min="12799" max="12799" width="29" style="2" customWidth="1"/>
    <col min="12800" max="13048" width="9.140625" style="2"/>
    <col min="13049" max="13049" width="3.28515625" style="2" customWidth="1"/>
    <col min="13050" max="13050" width="29" style="2" customWidth="1"/>
    <col min="13051" max="13051" width="14" style="2" customWidth="1"/>
    <col min="13052" max="13052" width="11.28515625" style="2" customWidth="1"/>
    <col min="13053" max="13053" width="16.7109375" style="2" customWidth="1"/>
    <col min="13054" max="13054" width="8.85546875" style="2" customWidth="1"/>
    <col min="13055" max="13055" width="29" style="2" customWidth="1"/>
    <col min="13056" max="13304" width="9.140625" style="2"/>
    <col min="13305" max="13305" width="3.28515625" style="2" customWidth="1"/>
    <col min="13306" max="13306" width="29" style="2" customWidth="1"/>
    <col min="13307" max="13307" width="14" style="2" customWidth="1"/>
    <col min="13308" max="13308" width="11.28515625" style="2" customWidth="1"/>
    <col min="13309" max="13309" width="16.7109375" style="2" customWidth="1"/>
    <col min="13310" max="13310" width="8.85546875" style="2" customWidth="1"/>
    <col min="13311" max="13311" width="29" style="2" customWidth="1"/>
    <col min="13312" max="13560" width="9.140625" style="2"/>
    <col min="13561" max="13561" width="3.28515625" style="2" customWidth="1"/>
    <col min="13562" max="13562" width="29" style="2" customWidth="1"/>
    <col min="13563" max="13563" width="14" style="2" customWidth="1"/>
    <col min="13564" max="13564" width="11.28515625" style="2" customWidth="1"/>
    <col min="13565" max="13565" width="16.7109375" style="2" customWidth="1"/>
    <col min="13566" max="13566" width="8.85546875" style="2" customWidth="1"/>
    <col min="13567" max="13567" width="29" style="2" customWidth="1"/>
    <col min="13568" max="13816" width="9.140625" style="2"/>
    <col min="13817" max="13817" width="3.28515625" style="2" customWidth="1"/>
    <col min="13818" max="13818" width="29" style="2" customWidth="1"/>
    <col min="13819" max="13819" width="14" style="2" customWidth="1"/>
    <col min="13820" max="13820" width="11.28515625" style="2" customWidth="1"/>
    <col min="13821" max="13821" width="16.7109375" style="2" customWidth="1"/>
    <col min="13822" max="13822" width="8.85546875" style="2" customWidth="1"/>
    <col min="13823" max="13823" width="29" style="2" customWidth="1"/>
    <col min="13824" max="14072" width="9.140625" style="2"/>
    <col min="14073" max="14073" width="3.28515625" style="2" customWidth="1"/>
    <col min="14074" max="14074" width="29" style="2" customWidth="1"/>
    <col min="14075" max="14075" width="14" style="2" customWidth="1"/>
    <col min="14076" max="14076" width="11.28515625" style="2" customWidth="1"/>
    <col min="14077" max="14077" width="16.7109375" style="2" customWidth="1"/>
    <col min="14078" max="14078" width="8.85546875" style="2" customWidth="1"/>
    <col min="14079" max="14079" width="29" style="2" customWidth="1"/>
    <col min="14080" max="14328" width="9.140625" style="2"/>
    <col min="14329" max="14329" width="3.28515625" style="2" customWidth="1"/>
    <col min="14330" max="14330" width="29" style="2" customWidth="1"/>
    <col min="14331" max="14331" width="14" style="2" customWidth="1"/>
    <col min="14332" max="14332" width="11.28515625" style="2" customWidth="1"/>
    <col min="14333" max="14333" width="16.7109375" style="2" customWidth="1"/>
    <col min="14334" max="14334" width="8.85546875" style="2" customWidth="1"/>
    <col min="14335" max="14335" width="29" style="2" customWidth="1"/>
    <col min="14336" max="14584" width="9.140625" style="2"/>
    <col min="14585" max="14585" width="3.28515625" style="2" customWidth="1"/>
    <col min="14586" max="14586" width="29" style="2" customWidth="1"/>
    <col min="14587" max="14587" width="14" style="2" customWidth="1"/>
    <col min="14588" max="14588" width="11.28515625" style="2" customWidth="1"/>
    <col min="14589" max="14589" width="16.7109375" style="2" customWidth="1"/>
    <col min="14590" max="14590" width="8.85546875" style="2" customWidth="1"/>
    <col min="14591" max="14591" width="29" style="2" customWidth="1"/>
    <col min="14592" max="14840" width="9.140625" style="2"/>
    <col min="14841" max="14841" width="3.28515625" style="2" customWidth="1"/>
    <col min="14842" max="14842" width="29" style="2" customWidth="1"/>
    <col min="14843" max="14843" width="14" style="2" customWidth="1"/>
    <col min="14844" max="14844" width="11.28515625" style="2" customWidth="1"/>
    <col min="14845" max="14845" width="16.7109375" style="2" customWidth="1"/>
    <col min="14846" max="14846" width="8.85546875" style="2" customWidth="1"/>
    <col min="14847" max="14847" width="29" style="2" customWidth="1"/>
    <col min="14848" max="15096" width="9.140625" style="2"/>
    <col min="15097" max="15097" width="3.28515625" style="2" customWidth="1"/>
    <col min="15098" max="15098" width="29" style="2" customWidth="1"/>
    <col min="15099" max="15099" width="14" style="2" customWidth="1"/>
    <col min="15100" max="15100" width="11.28515625" style="2" customWidth="1"/>
    <col min="15101" max="15101" width="16.7109375" style="2" customWidth="1"/>
    <col min="15102" max="15102" width="8.85546875" style="2" customWidth="1"/>
    <col min="15103" max="15103" width="29" style="2" customWidth="1"/>
    <col min="15104" max="15352" width="9.140625" style="2"/>
    <col min="15353" max="15353" width="3.28515625" style="2" customWidth="1"/>
    <col min="15354" max="15354" width="29" style="2" customWidth="1"/>
    <col min="15355" max="15355" width="14" style="2" customWidth="1"/>
    <col min="15356" max="15356" width="11.28515625" style="2" customWidth="1"/>
    <col min="15357" max="15357" width="16.7109375" style="2" customWidth="1"/>
    <col min="15358" max="15358" width="8.85546875" style="2" customWidth="1"/>
    <col min="15359" max="15359" width="29" style="2" customWidth="1"/>
    <col min="15360" max="15608" width="9.140625" style="2"/>
    <col min="15609" max="15609" width="3.28515625" style="2" customWidth="1"/>
    <col min="15610" max="15610" width="29" style="2" customWidth="1"/>
    <col min="15611" max="15611" width="14" style="2" customWidth="1"/>
    <col min="15612" max="15612" width="11.28515625" style="2" customWidth="1"/>
    <col min="15613" max="15613" width="16.7109375" style="2" customWidth="1"/>
    <col min="15614" max="15614" width="8.85546875" style="2" customWidth="1"/>
    <col min="15615" max="15615" width="29" style="2" customWidth="1"/>
    <col min="15616" max="15864" width="9.140625" style="2"/>
    <col min="15865" max="15865" width="3.28515625" style="2" customWidth="1"/>
    <col min="15866" max="15866" width="29" style="2" customWidth="1"/>
    <col min="15867" max="15867" width="14" style="2" customWidth="1"/>
    <col min="15868" max="15868" width="11.28515625" style="2" customWidth="1"/>
    <col min="15869" max="15869" width="16.7109375" style="2" customWidth="1"/>
    <col min="15870" max="15870" width="8.85546875" style="2" customWidth="1"/>
    <col min="15871" max="15871" width="29" style="2" customWidth="1"/>
    <col min="15872" max="16120" width="9.140625" style="2"/>
    <col min="16121" max="16121" width="3.28515625" style="2" customWidth="1"/>
    <col min="16122" max="16122" width="29" style="2" customWidth="1"/>
    <col min="16123" max="16123" width="14" style="2" customWidth="1"/>
    <col min="16124" max="16124" width="11.28515625" style="2" customWidth="1"/>
    <col min="16125" max="16125" width="16.7109375" style="2" customWidth="1"/>
    <col min="16126" max="16126" width="8.85546875" style="2" customWidth="1"/>
    <col min="16127" max="16127" width="29" style="2" customWidth="1"/>
    <col min="16128" max="16384" width="9.140625" style="2"/>
  </cols>
  <sheetData>
    <row r="1" spans="1:248" ht="15.75" x14ac:dyDescent="0.2">
      <c r="B1" s="79"/>
      <c r="C1" s="79"/>
      <c r="D1" s="79"/>
      <c r="E1" s="79"/>
      <c r="F1" s="79"/>
      <c r="G1" s="79"/>
      <c r="H1" s="79"/>
      <c r="I1" s="79"/>
      <c r="J1" s="79"/>
    </row>
    <row r="2" spans="1:248" ht="23.25" x14ac:dyDescent="0.2">
      <c r="A2" s="160"/>
      <c r="B2" s="262" t="s">
        <v>354</v>
      </c>
      <c r="C2" s="262"/>
      <c r="D2" s="262"/>
      <c r="E2" s="262"/>
      <c r="F2" s="262"/>
      <c r="G2" s="262"/>
      <c r="H2" s="262"/>
      <c r="I2" s="262"/>
      <c r="J2" s="262"/>
    </row>
    <row r="3" spans="1:248" ht="15.75" x14ac:dyDescent="0.2">
      <c r="A3" s="160"/>
      <c r="B3" s="79"/>
      <c r="C3" s="79"/>
      <c r="D3" s="79"/>
      <c r="E3" s="160"/>
      <c r="F3" s="160"/>
      <c r="G3" s="79"/>
      <c r="H3" s="79"/>
      <c r="I3" s="79"/>
      <c r="J3" s="79"/>
    </row>
    <row r="4" spans="1:248" ht="21" customHeight="1" x14ac:dyDescent="0.2">
      <c r="A4" s="160"/>
      <c r="B4" s="79"/>
      <c r="C4" s="79"/>
      <c r="D4" s="79"/>
      <c r="E4" s="160"/>
      <c r="F4" s="160"/>
      <c r="G4" s="79"/>
      <c r="H4" s="79"/>
      <c r="I4" s="79"/>
      <c r="J4" s="79"/>
    </row>
    <row r="5" spans="1:248" ht="15.75" x14ac:dyDescent="0.25">
      <c r="A5" s="263" t="s">
        <v>355</v>
      </c>
      <c r="B5" s="263"/>
      <c r="C5" s="263"/>
      <c r="D5" s="263"/>
      <c r="E5" s="263"/>
      <c r="F5" s="263"/>
      <c r="G5" s="263"/>
      <c r="H5" s="79"/>
      <c r="I5" s="79"/>
      <c r="J5" s="79"/>
      <c r="K5" s="161"/>
      <c r="L5" s="161"/>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c r="AS5" s="161"/>
      <c r="AT5" s="161"/>
      <c r="AU5" s="161"/>
      <c r="AV5" s="161"/>
      <c r="AW5" s="161"/>
      <c r="AX5" s="161"/>
      <c r="AY5" s="161"/>
      <c r="AZ5" s="161"/>
      <c r="BA5" s="161"/>
      <c r="BB5" s="161"/>
      <c r="BC5" s="161"/>
      <c r="BD5" s="161"/>
      <c r="BE5" s="161"/>
      <c r="BF5" s="161"/>
      <c r="BG5" s="161"/>
      <c r="BH5" s="161"/>
      <c r="BI5" s="161"/>
      <c r="BJ5" s="161"/>
      <c r="BK5" s="161"/>
      <c r="BL5" s="161"/>
      <c r="BM5" s="161"/>
      <c r="BN5" s="161"/>
      <c r="BO5" s="161"/>
      <c r="BP5" s="161"/>
      <c r="BQ5" s="161"/>
      <c r="BR5" s="161"/>
      <c r="BS5" s="161"/>
      <c r="BT5" s="161"/>
      <c r="BU5" s="161"/>
      <c r="BV5" s="161"/>
      <c r="BW5" s="161"/>
      <c r="BX5" s="161"/>
      <c r="BY5" s="161"/>
      <c r="BZ5" s="161"/>
      <c r="CA5" s="161"/>
      <c r="CB5" s="161"/>
      <c r="CC5" s="161"/>
      <c r="CD5" s="161"/>
      <c r="CE5" s="161"/>
      <c r="CF5" s="161"/>
      <c r="CG5" s="161"/>
      <c r="CH5" s="161"/>
      <c r="CI5" s="161"/>
      <c r="CJ5" s="161"/>
      <c r="CK5" s="161"/>
      <c r="CL5" s="161"/>
      <c r="CM5" s="161"/>
      <c r="CN5" s="161"/>
      <c r="CO5" s="161"/>
      <c r="CP5" s="161"/>
      <c r="CQ5" s="161"/>
      <c r="CR5" s="161"/>
      <c r="CS5" s="161"/>
      <c r="CT5" s="161"/>
      <c r="CU5" s="161"/>
      <c r="CV5" s="161"/>
      <c r="CW5" s="161"/>
      <c r="CX5" s="161"/>
      <c r="CY5" s="161"/>
      <c r="CZ5" s="161"/>
      <c r="DA5" s="161"/>
      <c r="DB5" s="161"/>
      <c r="DC5" s="161"/>
      <c r="DD5" s="161"/>
      <c r="DE5" s="161"/>
      <c r="DF5" s="161"/>
      <c r="DG5" s="161"/>
      <c r="DH5" s="161"/>
      <c r="DI5" s="161"/>
      <c r="DJ5" s="161"/>
      <c r="DK5" s="161"/>
      <c r="DL5" s="161"/>
      <c r="DM5" s="161"/>
      <c r="DN5" s="161"/>
      <c r="DO5" s="161"/>
      <c r="DP5" s="161"/>
      <c r="DQ5" s="161"/>
      <c r="DR5" s="161"/>
      <c r="DS5" s="161"/>
      <c r="DT5" s="161"/>
      <c r="DU5" s="161"/>
      <c r="DV5" s="161"/>
      <c r="DW5" s="161"/>
      <c r="DX5" s="161"/>
      <c r="DY5" s="161"/>
      <c r="DZ5" s="161"/>
      <c r="EA5" s="161"/>
      <c r="EB5" s="161"/>
      <c r="EC5" s="161"/>
      <c r="ED5" s="161"/>
      <c r="EE5" s="161"/>
      <c r="EF5" s="161"/>
      <c r="EG5" s="161"/>
      <c r="EH5" s="161"/>
      <c r="EI5" s="161"/>
      <c r="EJ5" s="161"/>
      <c r="EK5" s="161"/>
      <c r="EL5" s="161"/>
      <c r="EM5" s="161"/>
      <c r="EN5" s="161"/>
      <c r="EO5" s="161"/>
      <c r="EP5" s="161"/>
      <c r="EQ5" s="161"/>
      <c r="ER5" s="161"/>
      <c r="ES5" s="161"/>
      <c r="ET5" s="161"/>
      <c r="EU5" s="161"/>
      <c r="EV5" s="161"/>
      <c r="EW5" s="161"/>
      <c r="EX5" s="161"/>
      <c r="EY5" s="161"/>
      <c r="EZ5" s="161"/>
      <c r="FA5" s="161"/>
      <c r="FB5" s="161"/>
      <c r="FC5" s="161"/>
      <c r="FD5" s="161"/>
      <c r="FE5" s="161"/>
      <c r="FF5" s="161"/>
      <c r="FG5" s="161"/>
      <c r="FH5" s="161"/>
      <c r="FI5" s="161"/>
      <c r="FJ5" s="161"/>
      <c r="FK5" s="161"/>
      <c r="FL5" s="161"/>
      <c r="FM5" s="161"/>
      <c r="FN5" s="161"/>
      <c r="FO5" s="161"/>
      <c r="FP5" s="161"/>
      <c r="FQ5" s="161"/>
      <c r="FR5" s="161"/>
      <c r="FS5" s="161"/>
      <c r="FT5" s="161"/>
      <c r="FU5" s="161"/>
      <c r="FV5" s="161"/>
      <c r="FW5" s="161"/>
      <c r="FX5" s="161"/>
      <c r="FY5" s="161"/>
      <c r="FZ5" s="161"/>
      <c r="GA5" s="161"/>
      <c r="GB5" s="161"/>
      <c r="GC5" s="161"/>
      <c r="GD5" s="161"/>
      <c r="GE5" s="161"/>
      <c r="GF5" s="161"/>
      <c r="GG5" s="161"/>
      <c r="GH5" s="161"/>
      <c r="GI5" s="161"/>
      <c r="GJ5" s="161"/>
      <c r="GK5" s="161"/>
      <c r="GL5" s="161"/>
      <c r="GM5" s="161"/>
      <c r="GN5" s="161"/>
      <c r="GO5" s="161"/>
      <c r="GP5" s="161"/>
      <c r="GQ5" s="161"/>
      <c r="GR5" s="161"/>
      <c r="GS5" s="161"/>
      <c r="GT5" s="161"/>
      <c r="GU5" s="161"/>
      <c r="GV5" s="161"/>
      <c r="GW5" s="161"/>
      <c r="GX5" s="161"/>
      <c r="GY5" s="161"/>
      <c r="GZ5" s="161"/>
      <c r="HA5" s="161"/>
      <c r="HB5" s="161"/>
      <c r="HC5" s="161"/>
      <c r="HD5" s="161"/>
      <c r="HE5" s="161"/>
      <c r="HF5" s="161"/>
      <c r="HG5" s="161"/>
      <c r="HH5" s="161"/>
      <c r="HI5" s="161"/>
      <c r="HJ5" s="161"/>
      <c r="HK5" s="161"/>
      <c r="HL5" s="161"/>
      <c r="HM5" s="161"/>
      <c r="HN5" s="161"/>
      <c r="HO5" s="161"/>
      <c r="HP5" s="161"/>
      <c r="HQ5" s="161"/>
      <c r="HR5" s="161"/>
      <c r="HS5" s="161"/>
      <c r="HT5" s="161"/>
      <c r="HU5" s="161"/>
      <c r="HV5" s="161"/>
      <c r="HW5" s="161"/>
      <c r="HX5" s="161"/>
      <c r="HY5" s="161"/>
      <c r="HZ5" s="161"/>
      <c r="IA5" s="161"/>
      <c r="IB5" s="161"/>
      <c r="IC5" s="161"/>
      <c r="ID5" s="161"/>
      <c r="IE5" s="161"/>
      <c r="IF5" s="161"/>
      <c r="IG5" s="161"/>
      <c r="IH5" s="161"/>
      <c r="II5" s="161"/>
      <c r="IJ5" s="161"/>
      <c r="IK5" s="161"/>
      <c r="IL5" s="161"/>
      <c r="IM5" s="161"/>
      <c r="IN5" s="161"/>
    </row>
    <row r="6" spans="1:248" ht="18" x14ac:dyDescent="0.25">
      <c r="A6" s="264" t="s">
        <v>356</v>
      </c>
      <c r="B6" s="264"/>
      <c r="C6" s="264"/>
      <c r="D6" s="264"/>
      <c r="E6" s="264"/>
      <c r="F6" s="264"/>
      <c r="G6" s="264"/>
      <c r="H6" s="79"/>
      <c r="I6" s="79"/>
      <c r="J6" s="79"/>
      <c r="K6" s="161"/>
      <c r="L6" s="161"/>
      <c r="M6" s="161"/>
      <c r="N6" s="161"/>
      <c r="O6" s="161"/>
      <c r="P6" s="161"/>
      <c r="Q6" s="161"/>
      <c r="R6" s="161"/>
      <c r="S6" s="161"/>
      <c r="T6" s="161"/>
      <c r="U6" s="161"/>
      <c r="V6" s="161"/>
      <c r="W6" s="161"/>
      <c r="X6" s="161"/>
      <c r="Y6" s="161"/>
      <c r="Z6" s="161"/>
      <c r="AA6" s="161"/>
      <c r="AB6" s="161"/>
      <c r="AC6" s="161"/>
      <c r="AD6" s="161"/>
      <c r="AE6" s="161"/>
      <c r="AF6" s="161"/>
      <c r="AG6" s="161"/>
      <c r="AH6" s="161"/>
      <c r="AI6" s="161"/>
      <c r="AJ6" s="161"/>
      <c r="AK6" s="161"/>
      <c r="AL6" s="161"/>
      <c r="AM6" s="161"/>
      <c r="AN6" s="161"/>
      <c r="AO6" s="161"/>
      <c r="AP6" s="161"/>
      <c r="AQ6" s="161"/>
      <c r="AR6" s="161"/>
      <c r="AS6" s="161"/>
      <c r="AT6" s="161"/>
      <c r="AU6" s="161"/>
      <c r="AV6" s="161"/>
      <c r="AW6" s="161"/>
      <c r="AX6" s="161"/>
      <c r="AY6" s="161"/>
      <c r="AZ6" s="161"/>
      <c r="BA6" s="161"/>
      <c r="BB6" s="161"/>
      <c r="BC6" s="161"/>
      <c r="BD6" s="161"/>
      <c r="BE6" s="161"/>
      <c r="BF6" s="161"/>
      <c r="BG6" s="161"/>
      <c r="BH6" s="161"/>
      <c r="BI6" s="161"/>
      <c r="BJ6" s="161"/>
      <c r="BK6" s="161"/>
      <c r="BL6" s="161"/>
      <c r="BM6" s="161"/>
      <c r="BN6" s="161"/>
      <c r="BO6" s="161"/>
      <c r="BP6" s="161"/>
      <c r="BQ6" s="161"/>
      <c r="BR6" s="161"/>
      <c r="BS6" s="161"/>
      <c r="BT6" s="161"/>
      <c r="BU6" s="161"/>
      <c r="BV6" s="161"/>
      <c r="BW6" s="161"/>
      <c r="BX6" s="161"/>
      <c r="BY6" s="161"/>
      <c r="BZ6" s="161"/>
      <c r="CA6" s="161"/>
      <c r="CB6" s="161"/>
      <c r="CC6" s="161"/>
      <c r="CD6" s="161"/>
      <c r="CE6" s="161"/>
      <c r="CF6" s="161"/>
      <c r="CG6" s="161"/>
      <c r="CH6" s="161"/>
      <c r="CI6" s="161"/>
      <c r="CJ6" s="161"/>
      <c r="CK6" s="161"/>
      <c r="CL6" s="161"/>
      <c r="CM6" s="161"/>
      <c r="CN6" s="161"/>
      <c r="CO6" s="161"/>
      <c r="CP6" s="161"/>
      <c r="CQ6" s="161"/>
      <c r="CR6" s="161"/>
      <c r="CS6" s="161"/>
      <c r="CT6" s="161"/>
      <c r="CU6" s="161"/>
      <c r="CV6" s="161"/>
      <c r="CW6" s="161"/>
      <c r="CX6" s="161"/>
      <c r="CY6" s="161"/>
      <c r="CZ6" s="161"/>
      <c r="DA6" s="161"/>
      <c r="DB6" s="161"/>
      <c r="DC6" s="161"/>
      <c r="DD6" s="161"/>
      <c r="DE6" s="161"/>
      <c r="DF6" s="161"/>
      <c r="DG6" s="161"/>
      <c r="DH6" s="161"/>
      <c r="DI6" s="161"/>
      <c r="DJ6" s="161"/>
      <c r="DK6" s="161"/>
      <c r="DL6" s="161"/>
      <c r="DM6" s="161"/>
      <c r="DN6" s="161"/>
      <c r="DO6" s="161"/>
      <c r="DP6" s="161"/>
      <c r="DQ6" s="161"/>
      <c r="DR6" s="161"/>
      <c r="DS6" s="161"/>
      <c r="DT6" s="161"/>
      <c r="DU6" s="161"/>
      <c r="DV6" s="161"/>
      <c r="DW6" s="161"/>
      <c r="DX6" s="161"/>
      <c r="DY6" s="161"/>
      <c r="DZ6" s="161"/>
      <c r="EA6" s="161"/>
      <c r="EB6" s="161"/>
      <c r="EC6" s="161"/>
      <c r="ED6" s="161"/>
      <c r="EE6" s="161"/>
      <c r="EF6" s="161"/>
      <c r="EG6" s="161"/>
      <c r="EH6" s="161"/>
      <c r="EI6" s="161"/>
      <c r="EJ6" s="161"/>
      <c r="EK6" s="161"/>
      <c r="EL6" s="161"/>
      <c r="EM6" s="161"/>
      <c r="EN6" s="161"/>
      <c r="EO6" s="161"/>
      <c r="EP6" s="161"/>
      <c r="EQ6" s="161"/>
      <c r="ER6" s="161"/>
      <c r="ES6" s="161"/>
      <c r="ET6" s="161"/>
      <c r="EU6" s="161"/>
      <c r="EV6" s="161"/>
      <c r="EW6" s="161"/>
      <c r="EX6" s="161"/>
      <c r="EY6" s="161"/>
      <c r="EZ6" s="161"/>
      <c r="FA6" s="161"/>
      <c r="FB6" s="161"/>
      <c r="FC6" s="161"/>
      <c r="FD6" s="161"/>
      <c r="FE6" s="161"/>
      <c r="FF6" s="161"/>
      <c r="FG6" s="161"/>
      <c r="FH6" s="161"/>
      <c r="FI6" s="161"/>
      <c r="FJ6" s="161"/>
      <c r="FK6" s="161"/>
      <c r="FL6" s="161"/>
      <c r="FM6" s="161"/>
      <c r="FN6" s="161"/>
      <c r="FO6" s="161"/>
      <c r="FP6" s="161"/>
      <c r="FQ6" s="161"/>
      <c r="FR6" s="161"/>
      <c r="FS6" s="161"/>
      <c r="FT6" s="161"/>
      <c r="FU6" s="161"/>
      <c r="FV6" s="161"/>
      <c r="FW6" s="161"/>
      <c r="FX6" s="161"/>
      <c r="FY6" s="161"/>
      <c r="FZ6" s="161"/>
      <c r="GA6" s="161"/>
      <c r="GB6" s="161"/>
      <c r="GC6" s="161"/>
      <c r="GD6" s="161"/>
      <c r="GE6" s="161"/>
      <c r="GF6" s="161"/>
      <c r="GG6" s="161"/>
      <c r="GH6" s="161"/>
      <c r="GI6" s="161"/>
      <c r="GJ6" s="161"/>
      <c r="GK6" s="161"/>
      <c r="GL6" s="161"/>
      <c r="GM6" s="161"/>
      <c r="GN6" s="161"/>
      <c r="GO6" s="161"/>
      <c r="GP6" s="161"/>
      <c r="GQ6" s="161"/>
      <c r="GR6" s="161"/>
      <c r="GS6" s="161"/>
      <c r="GT6" s="161"/>
      <c r="GU6" s="161"/>
      <c r="GV6" s="161"/>
      <c r="GW6" s="161"/>
      <c r="GX6" s="161"/>
      <c r="GY6" s="161"/>
      <c r="GZ6" s="161"/>
      <c r="HA6" s="161"/>
      <c r="HB6" s="161"/>
      <c r="HC6" s="161"/>
      <c r="HD6" s="161"/>
      <c r="HE6" s="161"/>
      <c r="HF6" s="161"/>
      <c r="HG6" s="161"/>
      <c r="HH6" s="161"/>
      <c r="HI6" s="161"/>
      <c r="HJ6" s="161"/>
      <c r="HK6" s="161"/>
      <c r="HL6" s="161"/>
      <c r="HM6" s="161"/>
      <c r="HN6" s="161"/>
      <c r="HO6" s="161"/>
      <c r="HP6" s="161"/>
      <c r="HQ6" s="161"/>
      <c r="HR6" s="161"/>
      <c r="HS6" s="161"/>
      <c r="HT6" s="161"/>
      <c r="HU6" s="161"/>
      <c r="HV6" s="161"/>
      <c r="HW6" s="161"/>
      <c r="HX6" s="161"/>
      <c r="HY6" s="161"/>
      <c r="HZ6" s="161"/>
      <c r="IA6" s="161"/>
      <c r="IB6" s="161"/>
      <c r="IC6" s="161"/>
      <c r="ID6" s="161"/>
      <c r="IE6" s="161"/>
      <c r="IF6" s="161"/>
      <c r="IG6" s="161"/>
      <c r="IH6" s="161"/>
      <c r="II6" s="161"/>
      <c r="IJ6" s="161"/>
      <c r="IK6" s="161"/>
      <c r="IL6" s="161"/>
      <c r="IM6" s="161"/>
      <c r="IN6" s="161"/>
    </row>
    <row r="7" spans="1:248" ht="15.75" x14ac:dyDescent="0.2">
      <c r="A7" s="265" t="s">
        <v>357</v>
      </c>
      <c r="B7" s="265"/>
      <c r="C7" s="265"/>
      <c r="D7" s="265"/>
      <c r="E7" s="265"/>
      <c r="F7" s="265"/>
      <c r="G7" s="265"/>
      <c r="H7" s="79"/>
      <c r="I7" s="79"/>
      <c r="J7" s="79"/>
      <c r="K7" s="162"/>
      <c r="L7" s="162"/>
      <c r="M7" s="162"/>
      <c r="N7" s="162"/>
      <c r="O7" s="162"/>
      <c r="P7" s="162"/>
      <c r="Q7" s="162"/>
      <c r="R7" s="162"/>
      <c r="S7" s="162"/>
      <c r="T7" s="162"/>
      <c r="U7" s="162"/>
      <c r="V7" s="162"/>
      <c r="W7" s="162"/>
      <c r="X7" s="162"/>
      <c r="Y7" s="162"/>
      <c r="Z7" s="162"/>
      <c r="AA7" s="162"/>
      <c r="AB7" s="162"/>
      <c r="AC7" s="162"/>
      <c r="AD7" s="162"/>
      <c r="AE7" s="162"/>
      <c r="AF7" s="162"/>
      <c r="AG7" s="162"/>
      <c r="AH7" s="162"/>
      <c r="AI7" s="162"/>
      <c r="AJ7" s="162"/>
      <c r="AK7" s="162"/>
      <c r="AL7" s="162"/>
      <c r="AM7" s="162"/>
      <c r="AN7" s="162"/>
      <c r="AO7" s="162"/>
      <c r="AP7" s="162"/>
      <c r="AQ7" s="162"/>
      <c r="AR7" s="162"/>
      <c r="AS7" s="162"/>
      <c r="AT7" s="162"/>
      <c r="AU7" s="162"/>
      <c r="AV7" s="162"/>
      <c r="AW7" s="162"/>
      <c r="AX7" s="162"/>
      <c r="AY7" s="162"/>
      <c r="AZ7" s="162"/>
      <c r="BA7" s="162"/>
      <c r="BB7" s="162"/>
      <c r="BC7" s="162"/>
      <c r="BD7" s="162"/>
      <c r="BE7" s="162"/>
      <c r="BF7" s="162"/>
      <c r="BG7" s="162"/>
      <c r="BH7" s="162"/>
      <c r="BI7" s="162"/>
      <c r="BJ7" s="162"/>
      <c r="BK7" s="162"/>
      <c r="BL7" s="162"/>
      <c r="BM7" s="162"/>
      <c r="BN7" s="162"/>
      <c r="BO7" s="162"/>
      <c r="BP7" s="162"/>
      <c r="BQ7" s="162"/>
      <c r="BR7" s="162"/>
      <c r="BS7" s="162"/>
      <c r="BT7" s="162"/>
      <c r="BU7" s="162"/>
      <c r="BV7" s="162"/>
      <c r="BW7" s="162"/>
      <c r="BX7" s="162"/>
      <c r="BY7" s="162"/>
      <c r="BZ7" s="162"/>
      <c r="CA7" s="162"/>
      <c r="CB7" s="162"/>
      <c r="CC7" s="162"/>
      <c r="CD7" s="162"/>
      <c r="CE7" s="162"/>
      <c r="CF7" s="162"/>
      <c r="CG7" s="162"/>
      <c r="CH7" s="162"/>
      <c r="CI7" s="162"/>
      <c r="CJ7" s="162"/>
      <c r="CK7" s="162"/>
      <c r="CL7" s="162"/>
      <c r="CM7" s="162"/>
      <c r="CN7" s="162"/>
      <c r="CO7" s="162"/>
      <c r="CP7" s="162"/>
      <c r="CQ7" s="162"/>
      <c r="CR7" s="162"/>
      <c r="CS7" s="162"/>
      <c r="CT7" s="162"/>
      <c r="CU7" s="162"/>
      <c r="CV7" s="162"/>
      <c r="CW7" s="162"/>
      <c r="CX7" s="162"/>
      <c r="CY7" s="162"/>
      <c r="CZ7" s="162"/>
      <c r="DA7" s="162"/>
      <c r="DB7" s="162"/>
      <c r="DC7" s="162"/>
      <c r="DD7" s="162"/>
      <c r="DE7" s="162"/>
      <c r="DF7" s="162"/>
      <c r="DG7" s="162"/>
      <c r="DH7" s="162"/>
      <c r="DI7" s="162"/>
      <c r="DJ7" s="162"/>
      <c r="DK7" s="162"/>
      <c r="DL7" s="162"/>
      <c r="DM7" s="162"/>
      <c r="DN7" s="162"/>
      <c r="DO7" s="162"/>
      <c r="DP7" s="162"/>
      <c r="DQ7" s="162"/>
      <c r="DR7" s="162"/>
      <c r="DS7" s="162"/>
      <c r="DT7" s="162"/>
      <c r="DU7" s="162"/>
      <c r="DV7" s="162"/>
      <c r="DW7" s="162"/>
      <c r="DX7" s="162"/>
      <c r="DY7" s="162"/>
      <c r="DZ7" s="162"/>
      <c r="EA7" s="162"/>
      <c r="EB7" s="162"/>
      <c r="EC7" s="162"/>
      <c r="ED7" s="162"/>
      <c r="EE7" s="162"/>
      <c r="EF7" s="162"/>
      <c r="EG7" s="162"/>
      <c r="EH7" s="162"/>
      <c r="EI7" s="162"/>
      <c r="EJ7" s="162"/>
      <c r="EK7" s="162"/>
      <c r="EL7" s="162"/>
      <c r="EM7" s="162"/>
      <c r="EN7" s="162"/>
      <c r="EO7" s="162"/>
      <c r="EP7" s="162"/>
      <c r="EQ7" s="162"/>
      <c r="ER7" s="162"/>
      <c r="ES7" s="162"/>
      <c r="ET7" s="162"/>
      <c r="EU7" s="162"/>
      <c r="EV7" s="162"/>
      <c r="EW7" s="162"/>
      <c r="EX7" s="162"/>
      <c r="EY7" s="162"/>
      <c r="EZ7" s="162"/>
      <c r="FA7" s="162"/>
      <c r="FB7" s="162"/>
      <c r="FC7" s="162"/>
      <c r="FD7" s="162"/>
      <c r="FE7" s="162"/>
      <c r="FF7" s="162"/>
      <c r="FG7" s="162"/>
      <c r="FH7" s="162"/>
      <c r="FI7" s="162"/>
      <c r="FJ7" s="162"/>
      <c r="FK7" s="162"/>
      <c r="FL7" s="162"/>
      <c r="FM7" s="162"/>
      <c r="FN7" s="162"/>
      <c r="FO7" s="162"/>
      <c r="FP7" s="162"/>
      <c r="FQ7" s="162"/>
      <c r="FR7" s="162"/>
      <c r="FS7" s="162"/>
      <c r="FT7" s="162"/>
      <c r="FU7" s="162"/>
      <c r="FV7" s="162"/>
      <c r="FW7" s="162"/>
      <c r="FX7" s="162"/>
      <c r="FY7" s="162"/>
      <c r="FZ7" s="162"/>
      <c r="GA7" s="162"/>
      <c r="GB7" s="162"/>
      <c r="GC7" s="162"/>
      <c r="GD7" s="162"/>
      <c r="GE7" s="162"/>
      <c r="GF7" s="162"/>
      <c r="GG7" s="162"/>
      <c r="GH7" s="162"/>
      <c r="GI7" s="162"/>
      <c r="GJ7" s="162"/>
      <c r="GK7" s="162"/>
      <c r="GL7" s="162"/>
      <c r="GM7" s="162"/>
      <c r="GN7" s="162"/>
      <c r="GO7" s="162"/>
      <c r="GP7" s="162"/>
      <c r="GQ7" s="162"/>
      <c r="GR7" s="162"/>
      <c r="GS7" s="162"/>
      <c r="GT7" s="162"/>
      <c r="GU7" s="162"/>
      <c r="GV7" s="162"/>
      <c r="GW7" s="162"/>
      <c r="GX7" s="162"/>
      <c r="GY7" s="162"/>
      <c r="GZ7" s="162"/>
      <c r="HA7" s="162"/>
      <c r="HB7" s="162"/>
      <c r="HC7" s="162"/>
      <c r="HD7" s="162"/>
      <c r="HE7" s="162"/>
      <c r="HF7" s="162"/>
      <c r="HG7" s="162"/>
      <c r="HH7" s="162"/>
      <c r="HI7" s="162"/>
      <c r="HJ7" s="162"/>
      <c r="HK7" s="162"/>
      <c r="HL7" s="162"/>
      <c r="HM7" s="162"/>
      <c r="HN7" s="162"/>
      <c r="HO7" s="162"/>
      <c r="HP7" s="162"/>
      <c r="HQ7" s="162"/>
      <c r="HR7" s="162"/>
      <c r="HS7" s="162"/>
      <c r="HT7" s="162"/>
      <c r="HU7" s="162"/>
      <c r="HV7" s="162"/>
      <c r="HW7" s="162"/>
      <c r="HX7" s="162"/>
      <c r="HY7" s="162"/>
      <c r="HZ7" s="162"/>
      <c r="IA7" s="162"/>
      <c r="IB7" s="162"/>
      <c r="IC7" s="162"/>
      <c r="ID7" s="162"/>
      <c r="IE7" s="162"/>
      <c r="IF7" s="162"/>
      <c r="IG7" s="162"/>
      <c r="IH7" s="162"/>
      <c r="II7" s="162"/>
      <c r="IJ7" s="162"/>
      <c r="IK7" s="162"/>
      <c r="IL7" s="162"/>
      <c r="IM7" s="162"/>
      <c r="IN7" s="162"/>
    </row>
    <row r="8" spans="1:248" ht="15.75" x14ac:dyDescent="0.2">
      <c r="A8" s="79"/>
      <c r="B8" s="79"/>
      <c r="C8" s="79"/>
      <c r="D8" s="79"/>
      <c r="E8" s="79"/>
      <c r="F8" s="79"/>
      <c r="H8" s="79"/>
      <c r="I8" s="79"/>
      <c r="J8" s="79"/>
    </row>
    <row r="9" spans="1:248" ht="15.75" customHeight="1" x14ac:dyDescent="0.2">
      <c r="A9" s="261" t="s">
        <v>358</v>
      </c>
      <c r="B9" s="261"/>
      <c r="C9" s="261"/>
      <c r="D9" s="261"/>
      <c r="E9" s="261"/>
      <c r="F9" s="261"/>
      <c r="G9" s="261"/>
      <c r="H9" s="261"/>
      <c r="I9" s="261"/>
      <c r="J9" s="261"/>
    </row>
    <row r="10" spans="1:248" ht="15.75" customHeight="1" x14ac:dyDescent="0.2">
      <c r="A10" s="261" t="s">
        <v>418</v>
      </c>
      <c r="B10" s="261"/>
      <c r="C10" s="261"/>
      <c r="D10" s="261"/>
      <c r="E10" s="261"/>
      <c r="F10" s="261"/>
      <c r="G10" s="261"/>
      <c r="H10" s="261"/>
      <c r="I10" s="261"/>
      <c r="J10" s="261"/>
    </row>
    <row r="11" spans="1:248" ht="24.75" customHeight="1" x14ac:dyDescent="0.2">
      <c r="A11" s="256" t="s">
        <v>359</v>
      </c>
      <c r="B11" s="256"/>
      <c r="C11" s="256"/>
      <c r="D11" s="256"/>
      <c r="E11" s="256"/>
      <c r="F11" s="256"/>
      <c r="H11" s="79"/>
      <c r="I11" s="79"/>
      <c r="J11" s="79"/>
    </row>
    <row r="12" spans="1:248" ht="66" customHeight="1" x14ac:dyDescent="0.2">
      <c r="A12" s="257" t="s">
        <v>388</v>
      </c>
      <c r="B12" s="257"/>
      <c r="C12" s="257"/>
      <c r="D12" s="257"/>
      <c r="E12" s="257"/>
      <c r="F12" s="257"/>
      <c r="G12" s="257"/>
      <c r="H12" s="257"/>
      <c r="I12" s="257"/>
      <c r="J12" s="257"/>
    </row>
    <row r="13" spans="1:248" ht="9.75" customHeight="1" x14ac:dyDescent="0.2">
      <c r="A13" s="238"/>
      <c r="B13" s="238"/>
      <c r="C13" s="238"/>
      <c r="D13" s="238"/>
      <c r="E13" s="238"/>
      <c r="F13" s="238"/>
      <c r="G13" s="257"/>
      <c r="H13" s="257"/>
      <c r="I13" s="257"/>
      <c r="J13" s="257"/>
    </row>
    <row r="14" spans="1:248" s="63" customFormat="1" ht="45" x14ac:dyDescent="0.2">
      <c r="A14" s="72" t="s">
        <v>119</v>
      </c>
      <c r="B14" s="73" t="s">
        <v>223</v>
      </c>
      <c r="C14" s="74" t="s">
        <v>224</v>
      </c>
      <c r="D14" s="74" t="s">
        <v>225</v>
      </c>
      <c r="E14" s="74" t="s">
        <v>216</v>
      </c>
      <c r="F14" s="74" t="s">
        <v>123</v>
      </c>
      <c r="G14" s="74" t="s">
        <v>92</v>
      </c>
      <c r="H14" s="74" t="s">
        <v>93</v>
      </c>
      <c r="I14" s="74" t="s">
        <v>387</v>
      </c>
      <c r="J14" s="76" t="s">
        <v>100</v>
      </c>
    </row>
    <row r="15" spans="1:248" s="63" customFormat="1" ht="25.5" x14ac:dyDescent="0.2">
      <c r="A15" s="223">
        <v>1</v>
      </c>
      <c r="B15" s="225" t="s">
        <v>226</v>
      </c>
      <c r="C15" s="77" t="s">
        <v>230</v>
      </c>
      <c r="D15" s="77" t="s">
        <v>231</v>
      </c>
      <c r="E15" s="77">
        <v>6</v>
      </c>
      <c r="F15" s="78">
        <f>E15*2</f>
        <v>12</v>
      </c>
      <c r="G15" s="85">
        <f ca="1">Resumo!G4</f>
        <v>19843.053664385778</v>
      </c>
      <c r="H15" s="85">
        <f ca="1">G15*E15</f>
        <v>119058.32198631467</v>
      </c>
      <c r="I15" s="85">
        <f t="shared" ref="I15:I21" ca="1" si="0">H15*12</f>
        <v>1428699.863835776</v>
      </c>
      <c r="J15" s="92"/>
    </row>
    <row r="16" spans="1:248" s="63" customFormat="1" ht="25.5" x14ac:dyDescent="0.2">
      <c r="A16" s="224"/>
      <c r="B16" s="226"/>
      <c r="C16" s="77" t="s">
        <v>230</v>
      </c>
      <c r="D16" s="77" t="s">
        <v>419</v>
      </c>
      <c r="E16" s="77">
        <v>2</v>
      </c>
      <c r="F16" s="78">
        <v>4</v>
      </c>
      <c r="G16" s="85">
        <f ca="1">Resumo!G5</f>
        <v>21961.42353736595</v>
      </c>
      <c r="H16" s="85">
        <f ca="1">G16*E16</f>
        <v>43922.847074731901</v>
      </c>
      <c r="I16" s="85">
        <f t="shared" ca="1" si="0"/>
        <v>527074.16489678284</v>
      </c>
      <c r="J16" s="92"/>
    </row>
    <row r="17" spans="1:257" s="63" customFormat="1" ht="25.5" x14ac:dyDescent="0.2">
      <c r="A17" s="153">
        <v>2</v>
      </c>
      <c r="B17" s="77" t="s">
        <v>227</v>
      </c>
      <c r="C17" s="77" t="s">
        <v>230</v>
      </c>
      <c r="D17" s="77" t="s">
        <v>231</v>
      </c>
      <c r="E17" s="77">
        <v>2</v>
      </c>
      <c r="F17" s="78">
        <v>4</v>
      </c>
      <c r="G17" s="85">
        <f ca="1">Resumo!G6</f>
        <v>19843.053664385778</v>
      </c>
      <c r="H17" s="85">
        <f ca="1">G17*E17</f>
        <v>39686.107328771555</v>
      </c>
      <c r="I17" s="85">
        <f t="shared" ca="1" si="0"/>
        <v>476233.28794525866</v>
      </c>
      <c r="J17" s="92"/>
    </row>
    <row r="18" spans="1:257" s="63" customFormat="1" ht="25.5" x14ac:dyDescent="0.2">
      <c r="A18" s="153">
        <v>3</v>
      </c>
      <c r="B18" s="77" t="s">
        <v>228</v>
      </c>
      <c r="C18" s="77" t="s">
        <v>230</v>
      </c>
      <c r="D18" s="77" t="s">
        <v>231</v>
      </c>
      <c r="E18" s="77">
        <v>2</v>
      </c>
      <c r="F18" s="78">
        <f>E18*2</f>
        <v>4</v>
      </c>
      <c r="G18" s="85">
        <f ca="1">Resumo!G7</f>
        <v>19843.053664385778</v>
      </c>
      <c r="H18" s="85">
        <f ca="1">G18*E18</f>
        <v>39686.107328771555</v>
      </c>
      <c r="I18" s="85">
        <f t="shared" ca="1" si="0"/>
        <v>476233.28794525866</v>
      </c>
      <c r="J18" s="92"/>
    </row>
    <row r="19" spans="1:257" s="63" customFormat="1" ht="25.5" x14ac:dyDescent="0.2">
      <c r="A19" s="153">
        <v>4</v>
      </c>
      <c r="B19" s="77" t="s">
        <v>229</v>
      </c>
      <c r="C19" s="77" t="s">
        <v>230</v>
      </c>
      <c r="D19" s="77" t="s">
        <v>231</v>
      </c>
      <c r="E19" s="77">
        <v>2</v>
      </c>
      <c r="F19" s="78">
        <f>E19*2</f>
        <v>4</v>
      </c>
      <c r="G19" s="85">
        <f ca="1">Resumo!G8</f>
        <v>19843.053664385778</v>
      </c>
      <c r="H19" s="85">
        <f ca="1">G19*E19</f>
        <v>39686.107328771555</v>
      </c>
      <c r="I19" s="85">
        <f t="shared" ca="1" si="0"/>
        <v>476233.28794525866</v>
      </c>
      <c r="J19" s="92"/>
      <c r="K19" s="149"/>
    </row>
    <row r="20" spans="1:257" s="63" customFormat="1" ht="18" x14ac:dyDescent="0.2">
      <c r="A20" s="153">
        <v>5</v>
      </c>
      <c r="B20" s="77"/>
      <c r="C20" s="77" t="s">
        <v>438</v>
      </c>
      <c r="D20" s="77" t="s">
        <v>419</v>
      </c>
      <c r="E20" s="77"/>
      <c r="F20" s="78">
        <v>24</v>
      </c>
      <c r="G20" s="85">
        <f>Diurno!C147</f>
        <v>860.56</v>
      </c>
      <c r="H20" s="85">
        <f>G20*F20</f>
        <v>20653.439999999999</v>
      </c>
      <c r="I20" s="85">
        <f t="shared" ref="I20" si="1">H20*12</f>
        <v>247841.27999999997</v>
      </c>
      <c r="J20" s="92"/>
    </row>
    <row r="21" spans="1:257" s="63" customFormat="1" ht="18" x14ac:dyDescent="0.2">
      <c r="A21" s="153">
        <v>5</v>
      </c>
      <c r="B21" s="77"/>
      <c r="C21" s="77" t="s">
        <v>429</v>
      </c>
      <c r="D21" s="77" t="s">
        <v>419</v>
      </c>
      <c r="E21" s="77"/>
      <c r="F21" s="78">
        <v>4</v>
      </c>
      <c r="G21" s="85">
        <f>Noturno!C148</f>
        <v>874.10359999999991</v>
      </c>
      <c r="H21" s="85">
        <f>G21*F21</f>
        <v>3496.4143999999997</v>
      </c>
      <c r="I21" s="85">
        <f t="shared" si="0"/>
        <v>41956.972799999996</v>
      </c>
      <c r="J21" s="92"/>
    </row>
    <row r="22" spans="1:257" s="63" customFormat="1" ht="15.75" customHeight="1" x14ac:dyDescent="0.2">
      <c r="A22" s="227" t="s">
        <v>121</v>
      </c>
      <c r="B22" s="228"/>
      <c r="C22" s="228"/>
      <c r="D22" s="229"/>
      <c r="E22" s="84">
        <f>SUM(E15:E19)</f>
        <v>14</v>
      </c>
      <c r="F22" s="84">
        <f>SUM(F15:F19)</f>
        <v>28</v>
      </c>
      <c r="G22" s="93"/>
      <c r="H22" s="86">
        <f ca="1">SUM(H15:H21)</f>
        <v>306189.34544736124</v>
      </c>
      <c r="I22" s="86">
        <f ca="1">SUM(I15:I21)</f>
        <v>3674272.1453683339</v>
      </c>
      <c r="J22" s="87" t="e">
        <f>SUM(#REF!)</f>
        <v>#REF!</v>
      </c>
      <c r="K22" s="63">
        <v>3725999</v>
      </c>
    </row>
    <row r="23" spans="1:257" s="63" customFormat="1" ht="15" customHeight="1" x14ac:dyDescent="0.2">
      <c r="A23" s="230"/>
      <c r="B23" s="231"/>
      <c r="C23" s="231"/>
      <c r="D23" s="231"/>
      <c r="E23" s="231"/>
      <c r="F23" s="231"/>
      <c r="G23" s="231"/>
      <c r="H23" s="231"/>
      <c r="I23" s="231"/>
      <c r="J23" s="232"/>
      <c r="K23" s="149">
        <f>K22*1.1</f>
        <v>4098598.9000000004</v>
      </c>
      <c r="L23" s="64"/>
      <c r="M23" s="64"/>
      <c r="N23" s="64"/>
      <c r="O23" s="64"/>
      <c r="P23" s="64"/>
      <c r="Q23" s="64"/>
      <c r="R23" s="64"/>
      <c r="S23" s="64"/>
      <c r="T23" s="64"/>
      <c r="U23" s="64"/>
      <c r="V23" s="64"/>
      <c r="W23" s="64"/>
      <c r="X23" s="64"/>
      <c r="Y23" s="64"/>
      <c r="Z23" s="64"/>
      <c r="AA23" s="64"/>
      <c r="AB23" s="64"/>
      <c r="AC23" s="64"/>
      <c r="AD23" s="64"/>
      <c r="AE23" s="64"/>
      <c r="AF23" s="64"/>
      <c r="AG23" s="64"/>
      <c r="AH23" s="64"/>
      <c r="AI23" s="64"/>
      <c r="AJ23" s="64"/>
      <c r="AK23" s="64"/>
      <c r="AL23" s="64"/>
      <c r="AM23" s="64"/>
      <c r="AN23" s="64"/>
      <c r="AO23" s="64"/>
      <c r="AP23" s="64"/>
      <c r="AQ23" s="64"/>
      <c r="AR23" s="64"/>
      <c r="AS23" s="64"/>
      <c r="AT23" s="64"/>
      <c r="AU23" s="64"/>
      <c r="AV23" s="64"/>
      <c r="AW23" s="64"/>
      <c r="AX23" s="64"/>
      <c r="AY23" s="64"/>
      <c r="AZ23" s="64"/>
      <c r="BA23" s="64"/>
      <c r="BB23" s="64"/>
      <c r="BC23" s="64"/>
      <c r="BD23" s="64"/>
      <c r="BE23" s="64"/>
      <c r="BF23" s="64"/>
      <c r="BG23" s="64"/>
      <c r="BH23" s="64"/>
      <c r="BI23" s="64"/>
      <c r="BJ23" s="64"/>
      <c r="BK23" s="64"/>
      <c r="BL23" s="64"/>
      <c r="BM23" s="64"/>
      <c r="BN23" s="64"/>
      <c r="BO23" s="64"/>
      <c r="BP23" s="64"/>
      <c r="BQ23" s="64"/>
      <c r="BR23" s="64"/>
      <c r="BS23" s="64"/>
      <c r="BT23" s="64"/>
      <c r="BU23" s="64"/>
      <c r="BV23" s="64"/>
      <c r="BW23" s="64"/>
      <c r="BX23" s="64"/>
      <c r="BY23" s="64"/>
      <c r="BZ23" s="64"/>
      <c r="CA23" s="64"/>
      <c r="CB23" s="64"/>
      <c r="CC23" s="64"/>
      <c r="CD23" s="64"/>
      <c r="CE23" s="64"/>
      <c r="CF23" s="64"/>
      <c r="CG23" s="64"/>
      <c r="CH23" s="64"/>
      <c r="CI23" s="64"/>
      <c r="CJ23" s="64"/>
      <c r="CK23" s="64"/>
      <c r="CL23" s="64"/>
      <c r="CM23" s="64"/>
      <c r="CN23" s="64"/>
      <c r="CO23" s="64"/>
      <c r="CP23" s="64"/>
      <c r="CQ23" s="64"/>
      <c r="CR23" s="64"/>
      <c r="CS23" s="64"/>
      <c r="CT23" s="64"/>
      <c r="CU23" s="64"/>
      <c r="CV23" s="64"/>
      <c r="CW23" s="64"/>
      <c r="CX23" s="64"/>
      <c r="CY23" s="64"/>
      <c r="CZ23" s="64"/>
      <c r="DA23" s="64"/>
      <c r="DB23" s="64"/>
      <c r="DC23" s="64"/>
      <c r="DD23" s="64"/>
      <c r="DE23" s="64"/>
      <c r="DF23" s="64"/>
      <c r="DG23" s="64"/>
      <c r="DH23" s="64"/>
      <c r="DI23" s="64"/>
      <c r="DJ23" s="64"/>
      <c r="DK23" s="64"/>
      <c r="DL23" s="64"/>
      <c r="DM23" s="64"/>
      <c r="DN23" s="64"/>
      <c r="DO23" s="64"/>
      <c r="DP23" s="64"/>
      <c r="DQ23" s="64"/>
      <c r="DR23" s="64"/>
      <c r="DS23" s="64"/>
      <c r="DT23" s="64"/>
      <c r="DU23" s="64"/>
      <c r="DV23" s="64"/>
      <c r="DW23" s="64"/>
      <c r="DX23" s="64"/>
      <c r="DY23" s="64"/>
      <c r="DZ23" s="64"/>
      <c r="EA23" s="64"/>
      <c r="EB23" s="64"/>
      <c r="EC23" s="64"/>
      <c r="ED23" s="64"/>
      <c r="EE23" s="64"/>
      <c r="EF23" s="64"/>
      <c r="EG23" s="64"/>
      <c r="EH23" s="64"/>
      <c r="EI23" s="64"/>
      <c r="EJ23" s="64"/>
      <c r="EK23" s="64"/>
      <c r="EL23" s="64"/>
      <c r="EM23" s="64"/>
      <c r="EN23" s="64"/>
      <c r="EO23" s="64"/>
      <c r="EP23" s="64"/>
      <c r="EQ23" s="64"/>
      <c r="ER23" s="64"/>
      <c r="ES23" s="64"/>
      <c r="ET23" s="64"/>
      <c r="EU23" s="64"/>
      <c r="EV23" s="64"/>
      <c r="EW23" s="64"/>
      <c r="EX23" s="64"/>
      <c r="EY23" s="64"/>
      <c r="EZ23" s="64"/>
      <c r="FA23" s="64"/>
      <c r="FB23" s="64"/>
      <c r="FC23" s="64"/>
      <c r="FD23" s="64"/>
      <c r="FE23" s="64"/>
      <c r="FF23" s="64"/>
      <c r="FG23" s="64"/>
      <c r="FH23" s="64"/>
      <c r="FI23" s="64"/>
      <c r="FJ23" s="64"/>
      <c r="FK23" s="64"/>
      <c r="FL23" s="64"/>
      <c r="FM23" s="64"/>
      <c r="FN23" s="64"/>
      <c r="FO23" s="64"/>
      <c r="FP23" s="64"/>
      <c r="FQ23" s="64"/>
      <c r="FR23" s="64"/>
      <c r="FS23" s="64"/>
      <c r="FT23" s="64"/>
      <c r="FU23" s="64"/>
      <c r="FV23" s="64"/>
      <c r="FW23" s="64"/>
      <c r="FX23" s="64"/>
      <c r="FY23" s="64"/>
      <c r="FZ23" s="64"/>
      <c r="GA23" s="64"/>
      <c r="GB23" s="64"/>
      <c r="GC23" s="64"/>
      <c r="GD23" s="64"/>
      <c r="GE23" s="64"/>
      <c r="GF23" s="64"/>
      <c r="GG23" s="64"/>
      <c r="GH23" s="64"/>
      <c r="GI23" s="64"/>
      <c r="GJ23" s="64"/>
      <c r="GK23" s="64"/>
      <c r="GL23" s="64"/>
      <c r="GM23" s="64"/>
      <c r="GN23" s="64"/>
      <c r="GO23" s="64"/>
      <c r="GP23" s="64"/>
      <c r="GQ23" s="64"/>
      <c r="GR23" s="64"/>
      <c r="GS23" s="64"/>
      <c r="GT23" s="64"/>
      <c r="GU23" s="64"/>
      <c r="GV23" s="64"/>
      <c r="GW23" s="64"/>
      <c r="GX23" s="64"/>
      <c r="GY23" s="64"/>
      <c r="GZ23" s="64"/>
      <c r="HA23" s="64"/>
      <c r="HB23" s="64"/>
      <c r="HC23" s="64"/>
      <c r="HD23" s="64"/>
      <c r="HE23" s="64"/>
      <c r="HF23" s="64"/>
      <c r="HG23" s="64"/>
      <c r="HH23" s="64"/>
      <c r="HI23" s="64"/>
      <c r="HJ23" s="64"/>
      <c r="HK23" s="64"/>
      <c r="HL23" s="64"/>
      <c r="HM23" s="64"/>
      <c r="HN23" s="64"/>
      <c r="HO23" s="64"/>
      <c r="HP23" s="64"/>
      <c r="HQ23" s="64"/>
      <c r="HR23" s="64"/>
      <c r="HS23" s="64"/>
      <c r="HT23" s="64"/>
      <c r="HU23" s="64"/>
      <c r="HV23" s="64"/>
      <c r="HW23" s="64"/>
      <c r="HX23" s="64"/>
      <c r="HY23" s="64"/>
      <c r="HZ23" s="64"/>
      <c r="IA23" s="64"/>
      <c r="IB23" s="64"/>
      <c r="IC23" s="64"/>
      <c r="ID23" s="64"/>
      <c r="IE23" s="64"/>
      <c r="IF23" s="64"/>
      <c r="IG23" s="64"/>
      <c r="IH23" s="64"/>
      <c r="II23" s="64"/>
      <c r="IJ23" s="64"/>
      <c r="IK23" s="64"/>
      <c r="IL23" s="64"/>
      <c r="IM23" s="64"/>
      <c r="IN23" s="64"/>
      <c r="IO23" s="64"/>
      <c r="IP23" s="64"/>
      <c r="IQ23" s="64"/>
      <c r="IR23" s="64"/>
      <c r="IS23" s="64"/>
      <c r="IT23" s="64"/>
      <c r="IU23" s="64"/>
      <c r="IV23" s="64"/>
      <c r="IW23" s="64"/>
    </row>
    <row r="24" spans="1:257" s="63" customFormat="1" ht="18" customHeight="1" x14ac:dyDescent="0.2">
      <c r="A24" s="233" t="s">
        <v>66</v>
      </c>
      <c r="B24" s="233"/>
      <c r="C24" s="233"/>
      <c r="D24" s="233"/>
      <c r="E24" s="233"/>
      <c r="F24" s="233"/>
      <c r="G24" s="233"/>
      <c r="H24" s="233"/>
      <c r="I24" s="90">
        <f ca="1">H22</f>
        <v>306189.34544736124</v>
      </c>
      <c r="J24" s="65" t="e">
        <f>#REF!</f>
        <v>#REF!</v>
      </c>
      <c r="K24" s="149"/>
      <c r="L24" s="64"/>
      <c r="M24" s="64"/>
      <c r="N24" s="64"/>
      <c r="O24" s="64"/>
      <c r="P24" s="64"/>
      <c r="Q24" s="64"/>
      <c r="R24" s="64"/>
      <c r="S24" s="64"/>
      <c r="T24" s="64"/>
      <c r="U24" s="64"/>
      <c r="V24" s="64"/>
      <c r="W24" s="64"/>
      <c r="X24" s="64"/>
      <c r="Y24" s="64"/>
      <c r="Z24" s="64"/>
      <c r="AA24" s="64"/>
      <c r="AB24" s="64"/>
      <c r="AC24" s="64"/>
      <c r="AD24" s="64"/>
      <c r="AE24" s="64"/>
      <c r="AF24" s="64"/>
      <c r="AG24" s="64"/>
      <c r="AH24" s="64"/>
      <c r="AI24" s="64"/>
      <c r="AJ24" s="64"/>
      <c r="AK24" s="64"/>
      <c r="AL24" s="64"/>
      <c r="AM24" s="64"/>
      <c r="AN24" s="64"/>
      <c r="AO24" s="64"/>
      <c r="AP24" s="64"/>
      <c r="AQ24" s="64"/>
      <c r="AR24" s="64"/>
      <c r="AS24" s="64"/>
      <c r="AT24" s="64"/>
      <c r="AU24" s="64"/>
      <c r="AV24" s="64"/>
      <c r="AW24" s="64"/>
      <c r="AX24" s="64"/>
      <c r="AY24" s="64"/>
      <c r="AZ24" s="64"/>
      <c r="BA24" s="64"/>
      <c r="BB24" s="64"/>
      <c r="BC24" s="64"/>
      <c r="BD24" s="64"/>
      <c r="BE24" s="64"/>
      <c r="BF24" s="64"/>
      <c r="BG24" s="64"/>
      <c r="BH24" s="64"/>
      <c r="BI24" s="64"/>
      <c r="BJ24" s="64"/>
      <c r="BK24" s="64"/>
      <c r="BL24" s="64"/>
      <c r="BM24" s="64"/>
      <c r="BN24" s="64"/>
      <c r="BO24" s="64"/>
      <c r="BP24" s="64"/>
      <c r="BQ24" s="64"/>
      <c r="BR24" s="64"/>
      <c r="BS24" s="64"/>
      <c r="BT24" s="64"/>
      <c r="BU24" s="64"/>
      <c r="BV24" s="64"/>
      <c r="BW24" s="64"/>
      <c r="BX24" s="64"/>
      <c r="BY24" s="64"/>
      <c r="BZ24" s="64"/>
      <c r="CA24" s="64"/>
      <c r="CB24" s="64"/>
      <c r="CC24" s="64"/>
      <c r="CD24" s="64"/>
      <c r="CE24" s="64"/>
      <c r="CF24" s="64"/>
      <c r="CG24" s="64"/>
      <c r="CH24" s="64"/>
      <c r="CI24" s="64"/>
      <c r="CJ24" s="64"/>
      <c r="CK24" s="64"/>
      <c r="CL24" s="64"/>
      <c r="CM24" s="64"/>
      <c r="CN24" s="64"/>
      <c r="CO24" s="64"/>
      <c r="CP24" s="64"/>
      <c r="CQ24" s="64"/>
      <c r="CR24" s="64"/>
      <c r="CS24" s="64"/>
      <c r="CT24" s="64"/>
      <c r="CU24" s="64"/>
      <c r="CV24" s="64"/>
      <c r="CW24" s="64"/>
      <c r="CX24" s="64"/>
      <c r="CY24" s="64"/>
      <c r="CZ24" s="64"/>
      <c r="DA24" s="64"/>
      <c r="DB24" s="64"/>
      <c r="DC24" s="64"/>
      <c r="DD24" s="64"/>
      <c r="DE24" s="64"/>
      <c r="DF24" s="64"/>
      <c r="DG24" s="64"/>
      <c r="DH24" s="64"/>
      <c r="DI24" s="64"/>
      <c r="DJ24" s="64"/>
      <c r="DK24" s="64"/>
      <c r="DL24" s="64"/>
      <c r="DM24" s="64"/>
      <c r="DN24" s="64"/>
      <c r="DO24" s="64"/>
      <c r="DP24" s="64"/>
      <c r="DQ24" s="64"/>
      <c r="DR24" s="64"/>
      <c r="DS24" s="64"/>
      <c r="DT24" s="64"/>
      <c r="DU24" s="64"/>
      <c r="DV24" s="64"/>
      <c r="DW24" s="64"/>
      <c r="DX24" s="64"/>
      <c r="DY24" s="64"/>
      <c r="DZ24" s="64"/>
      <c r="EA24" s="64"/>
      <c r="EB24" s="64"/>
      <c r="EC24" s="64"/>
      <c r="ED24" s="64"/>
      <c r="EE24" s="64"/>
      <c r="EF24" s="64"/>
      <c r="EG24" s="64"/>
      <c r="EH24" s="64"/>
      <c r="EI24" s="64"/>
      <c r="EJ24" s="64"/>
      <c r="EK24" s="64"/>
      <c r="EL24" s="64"/>
      <c r="EM24" s="64"/>
      <c r="EN24" s="64"/>
      <c r="EO24" s="64"/>
      <c r="EP24" s="64"/>
      <c r="EQ24" s="64"/>
      <c r="ER24" s="64"/>
      <c r="ES24" s="64"/>
      <c r="ET24" s="64"/>
      <c r="EU24" s="64"/>
      <c r="EV24" s="64"/>
      <c r="EW24" s="64"/>
      <c r="EX24" s="64"/>
      <c r="EY24" s="64"/>
      <c r="EZ24" s="64"/>
      <c r="FA24" s="64"/>
      <c r="FB24" s="64"/>
      <c r="FC24" s="64"/>
      <c r="FD24" s="64"/>
      <c r="FE24" s="64"/>
      <c r="FF24" s="64"/>
      <c r="FG24" s="64"/>
      <c r="FH24" s="64"/>
      <c r="FI24" s="64"/>
      <c r="FJ24" s="64"/>
      <c r="FK24" s="64"/>
      <c r="FL24" s="64"/>
      <c r="FM24" s="64"/>
      <c r="FN24" s="64"/>
      <c r="FO24" s="64"/>
      <c r="FP24" s="64"/>
      <c r="FQ24" s="64"/>
      <c r="FR24" s="64"/>
      <c r="FS24" s="64"/>
      <c r="FT24" s="64"/>
      <c r="FU24" s="64"/>
      <c r="FV24" s="64"/>
      <c r="FW24" s="64"/>
      <c r="FX24" s="64"/>
      <c r="FY24" s="64"/>
      <c r="FZ24" s="64"/>
      <c r="GA24" s="64"/>
      <c r="GB24" s="64"/>
      <c r="GC24" s="64"/>
      <c r="GD24" s="64"/>
      <c r="GE24" s="64"/>
      <c r="GF24" s="64"/>
      <c r="GG24" s="64"/>
      <c r="GH24" s="64"/>
      <c r="GI24" s="64"/>
      <c r="GJ24" s="64"/>
      <c r="GK24" s="64"/>
      <c r="GL24" s="64"/>
      <c r="GM24" s="64"/>
      <c r="GN24" s="64"/>
      <c r="GO24" s="64"/>
      <c r="GP24" s="64"/>
      <c r="GQ24" s="64"/>
      <c r="GR24" s="64"/>
      <c r="GS24" s="64"/>
      <c r="GT24" s="64"/>
      <c r="GU24" s="64"/>
      <c r="GV24" s="64"/>
      <c r="GW24" s="64"/>
      <c r="GX24" s="64"/>
      <c r="GY24" s="64"/>
      <c r="GZ24" s="64"/>
      <c r="HA24" s="64"/>
      <c r="HB24" s="64"/>
      <c r="HC24" s="64"/>
      <c r="HD24" s="64"/>
      <c r="HE24" s="64"/>
      <c r="HF24" s="64"/>
      <c r="HG24" s="64"/>
      <c r="HH24" s="64"/>
      <c r="HI24" s="64"/>
      <c r="HJ24" s="64"/>
      <c r="HK24" s="64"/>
      <c r="HL24" s="64"/>
      <c r="HM24" s="64"/>
      <c r="HN24" s="64"/>
      <c r="HO24" s="64"/>
      <c r="HP24" s="64"/>
      <c r="HQ24" s="64"/>
      <c r="HR24" s="64"/>
      <c r="HS24" s="64"/>
      <c r="HT24" s="64"/>
      <c r="HU24" s="64"/>
      <c r="HV24" s="64"/>
      <c r="HW24" s="64"/>
      <c r="HX24" s="64"/>
      <c r="HY24" s="64"/>
      <c r="HZ24" s="64"/>
      <c r="IA24" s="64"/>
      <c r="IB24" s="64"/>
      <c r="IC24" s="64"/>
      <c r="ID24" s="64"/>
      <c r="IE24" s="64"/>
      <c r="IF24" s="64"/>
      <c r="IG24" s="64"/>
      <c r="IH24" s="64"/>
      <c r="II24" s="64"/>
      <c r="IJ24" s="64"/>
      <c r="IK24" s="64"/>
      <c r="IL24" s="64"/>
      <c r="IM24" s="64"/>
      <c r="IN24" s="64"/>
      <c r="IO24" s="64"/>
      <c r="IP24" s="64"/>
      <c r="IQ24" s="64"/>
      <c r="IR24" s="64"/>
      <c r="IS24" s="64"/>
      <c r="IT24" s="64"/>
      <c r="IU24" s="64"/>
      <c r="IV24" s="64"/>
      <c r="IW24" s="64"/>
    </row>
    <row r="25" spans="1:257" s="63" customFormat="1" ht="15" customHeight="1" x14ac:dyDescent="0.2">
      <c r="A25" s="258"/>
      <c r="B25" s="259"/>
      <c r="C25" s="259"/>
      <c r="D25" s="259"/>
      <c r="E25" s="259"/>
      <c r="F25" s="259"/>
      <c r="G25" s="259"/>
      <c r="H25" s="259"/>
      <c r="I25" s="259"/>
      <c r="J25" s="260"/>
    </row>
    <row r="26" spans="1:257" s="63" customFormat="1" ht="4.5" customHeight="1" x14ac:dyDescent="0.2">
      <c r="A26" s="234"/>
      <c r="B26" s="235"/>
      <c r="C26" s="235"/>
      <c r="D26" s="235"/>
      <c r="E26" s="235"/>
      <c r="F26" s="235"/>
      <c r="G26" s="235"/>
      <c r="H26" s="235"/>
      <c r="I26" s="235"/>
      <c r="J26" s="236"/>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64"/>
      <c r="AL26" s="64"/>
      <c r="AM26" s="64"/>
      <c r="AN26" s="64"/>
      <c r="AO26" s="64"/>
      <c r="AP26" s="64"/>
      <c r="AQ26" s="64"/>
      <c r="AR26" s="64"/>
      <c r="AS26" s="64"/>
      <c r="AT26" s="64"/>
      <c r="AU26" s="64"/>
      <c r="AV26" s="64"/>
      <c r="AW26" s="64"/>
      <c r="AX26" s="64"/>
      <c r="AY26" s="64"/>
      <c r="AZ26" s="64"/>
      <c r="BA26" s="64"/>
      <c r="BB26" s="64"/>
      <c r="BC26" s="64"/>
      <c r="BD26" s="64"/>
      <c r="BE26" s="64"/>
      <c r="BF26" s="64"/>
      <c r="BG26" s="64"/>
      <c r="BH26" s="64"/>
      <c r="BI26" s="64"/>
      <c r="BJ26" s="64"/>
      <c r="BK26" s="64"/>
      <c r="BL26" s="64"/>
      <c r="BM26" s="64"/>
      <c r="BN26" s="64"/>
      <c r="BO26" s="64"/>
      <c r="BP26" s="64"/>
      <c r="BQ26" s="64"/>
      <c r="BR26" s="64"/>
      <c r="BS26" s="64"/>
      <c r="BT26" s="64"/>
      <c r="BU26" s="64"/>
      <c r="BV26" s="64"/>
      <c r="BW26" s="64"/>
      <c r="BX26" s="64"/>
      <c r="BY26" s="64"/>
      <c r="BZ26" s="64"/>
      <c r="CA26" s="64"/>
      <c r="CB26" s="64"/>
      <c r="CC26" s="64"/>
      <c r="CD26" s="64"/>
      <c r="CE26" s="64"/>
      <c r="CF26" s="64"/>
      <c r="CG26" s="64"/>
      <c r="CH26" s="64"/>
      <c r="CI26" s="64"/>
      <c r="CJ26" s="64"/>
      <c r="CK26" s="64"/>
      <c r="CL26" s="64"/>
      <c r="CM26" s="64"/>
      <c r="CN26" s="64"/>
      <c r="CO26" s="64"/>
      <c r="CP26" s="64"/>
      <c r="CQ26" s="64"/>
      <c r="CR26" s="64"/>
      <c r="CS26" s="64"/>
      <c r="CT26" s="64"/>
      <c r="CU26" s="64"/>
      <c r="CV26" s="64"/>
      <c r="CW26" s="64"/>
      <c r="CX26" s="64"/>
      <c r="CY26" s="64"/>
      <c r="CZ26" s="64"/>
      <c r="DA26" s="64"/>
      <c r="DB26" s="64"/>
      <c r="DC26" s="64"/>
      <c r="DD26" s="64"/>
      <c r="DE26" s="64"/>
      <c r="DF26" s="64"/>
      <c r="DG26" s="64"/>
      <c r="DH26" s="64"/>
      <c r="DI26" s="64"/>
      <c r="DJ26" s="64"/>
      <c r="DK26" s="64"/>
      <c r="DL26" s="64"/>
      <c r="DM26" s="64"/>
      <c r="DN26" s="64"/>
      <c r="DO26" s="64"/>
      <c r="DP26" s="64"/>
      <c r="DQ26" s="64"/>
      <c r="DR26" s="64"/>
      <c r="DS26" s="64"/>
      <c r="DT26" s="64"/>
      <c r="DU26" s="64"/>
      <c r="DV26" s="64"/>
      <c r="DW26" s="64"/>
      <c r="DX26" s="64"/>
      <c r="DY26" s="64"/>
      <c r="DZ26" s="64"/>
      <c r="EA26" s="64"/>
      <c r="EB26" s="64"/>
      <c r="EC26" s="64"/>
      <c r="ED26" s="64"/>
      <c r="EE26" s="64"/>
      <c r="EF26" s="64"/>
      <c r="EG26" s="64"/>
      <c r="EH26" s="64"/>
      <c r="EI26" s="64"/>
      <c r="EJ26" s="64"/>
      <c r="EK26" s="64"/>
      <c r="EL26" s="64"/>
      <c r="EM26" s="64"/>
      <c r="EN26" s="64"/>
      <c r="EO26" s="64"/>
      <c r="EP26" s="64"/>
      <c r="EQ26" s="64"/>
      <c r="ER26" s="64"/>
      <c r="ES26" s="64"/>
      <c r="ET26" s="64"/>
      <c r="EU26" s="64"/>
      <c r="EV26" s="64"/>
      <c r="EW26" s="64"/>
      <c r="EX26" s="64"/>
      <c r="EY26" s="64"/>
      <c r="EZ26" s="64"/>
      <c r="FA26" s="64"/>
      <c r="FB26" s="64"/>
      <c r="FC26" s="64"/>
      <c r="FD26" s="64"/>
      <c r="FE26" s="64"/>
      <c r="FF26" s="64"/>
      <c r="FG26" s="64"/>
      <c r="FH26" s="64"/>
      <c r="FI26" s="64"/>
      <c r="FJ26" s="64"/>
      <c r="FK26" s="64"/>
      <c r="FL26" s="64"/>
      <c r="FM26" s="64"/>
      <c r="FN26" s="64"/>
      <c r="FO26" s="64"/>
      <c r="FP26" s="64"/>
      <c r="FQ26" s="64"/>
      <c r="FR26" s="64"/>
      <c r="FS26" s="64"/>
      <c r="FT26" s="64"/>
      <c r="FU26" s="64"/>
      <c r="FV26" s="64"/>
      <c r="FW26" s="64"/>
      <c r="FX26" s="64"/>
      <c r="FY26" s="64"/>
      <c r="FZ26" s="64"/>
      <c r="GA26" s="64"/>
      <c r="GB26" s="64"/>
      <c r="GC26" s="64"/>
      <c r="GD26" s="64"/>
      <c r="GE26" s="64"/>
      <c r="GF26" s="64"/>
      <c r="GG26" s="64"/>
      <c r="GH26" s="64"/>
      <c r="GI26" s="64"/>
      <c r="GJ26" s="64"/>
      <c r="GK26" s="64"/>
      <c r="GL26" s="64"/>
      <c r="GM26" s="64"/>
      <c r="GN26" s="64"/>
      <c r="GO26" s="64"/>
      <c r="GP26" s="64"/>
      <c r="GQ26" s="64"/>
      <c r="GR26" s="64"/>
      <c r="GS26" s="64"/>
      <c r="GT26" s="64"/>
      <c r="GU26" s="64"/>
      <c r="GV26" s="64"/>
      <c r="GW26" s="64"/>
      <c r="GX26" s="64"/>
      <c r="GY26" s="64"/>
      <c r="GZ26" s="64"/>
      <c r="HA26" s="64"/>
      <c r="HB26" s="64"/>
      <c r="HC26" s="64"/>
      <c r="HD26" s="64"/>
      <c r="HE26" s="64"/>
      <c r="HF26" s="64"/>
      <c r="HG26" s="64"/>
      <c r="HH26" s="64"/>
      <c r="HI26" s="64"/>
      <c r="HJ26" s="64"/>
      <c r="HK26" s="64"/>
      <c r="HL26" s="64"/>
      <c r="HM26" s="64"/>
      <c r="HN26" s="64"/>
      <c r="HO26" s="64"/>
      <c r="HP26" s="64"/>
      <c r="HQ26" s="64"/>
      <c r="HR26" s="64"/>
      <c r="HS26" s="64"/>
      <c r="HT26" s="64"/>
      <c r="HU26" s="64"/>
      <c r="HV26" s="64"/>
      <c r="HW26" s="64"/>
      <c r="HX26" s="64"/>
      <c r="HY26" s="64"/>
      <c r="HZ26" s="64"/>
      <c r="IA26" s="64"/>
      <c r="IB26" s="64"/>
      <c r="IC26" s="64"/>
      <c r="ID26" s="64"/>
      <c r="IE26" s="64"/>
      <c r="IF26" s="64"/>
      <c r="IG26" s="64"/>
      <c r="IH26" s="64"/>
      <c r="II26" s="64"/>
      <c r="IJ26" s="64"/>
      <c r="IK26" s="64"/>
      <c r="IL26" s="64"/>
      <c r="IM26" s="64"/>
      <c r="IN26" s="64"/>
      <c r="IO26" s="64"/>
      <c r="IP26" s="64"/>
      <c r="IQ26" s="64"/>
      <c r="IR26" s="64"/>
      <c r="IS26" s="64"/>
      <c r="IT26" s="64"/>
      <c r="IU26" s="64"/>
      <c r="IV26" s="64"/>
      <c r="IW26" s="64"/>
    </row>
    <row r="27" spans="1:257" s="63" customFormat="1" ht="19.5" customHeight="1" x14ac:dyDescent="0.2">
      <c r="A27" s="233" t="s">
        <v>67</v>
      </c>
      <c r="B27" s="233"/>
      <c r="C27" s="233"/>
      <c r="D27" s="233"/>
      <c r="E27" s="233"/>
      <c r="F27" s="233"/>
      <c r="G27" s="233"/>
      <c r="H27" s="233"/>
      <c r="I27" s="88">
        <v>12</v>
      </c>
      <c r="J27" s="66">
        <v>12</v>
      </c>
    </row>
    <row r="28" spans="1:257" s="63" customFormat="1" ht="5.25" customHeight="1" x14ac:dyDescent="0.2">
      <c r="A28" s="234"/>
      <c r="B28" s="235"/>
      <c r="C28" s="235"/>
      <c r="D28" s="235"/>
      <c r="E28" s="235"/>
      <c r="F28" s="235"/>
      <c r="G28" s="235"/>
      <c r="H28" s="235"/>
      <c r="I28" s="235"/>
      <c r="J28" s="236"/>
      <c r="K28" s="64"/>
      <c r="L28" s="64"/>
      <c r="M28" s="64"/>
      <c r="N28" s="64"/>
      <c r="O28" s="64"/>
      <c r="P28" s="64"/>
      <c r="Q28" s="64"/>
      <c r="R28" s="64"/>
      <c r="S28" s="64"/>
      <c r="T28" s="64"/>
      <c r="U28" s="64"/>
      <c r="V28" s="64"/>
      <c r="W28" s="64"/>
      <c r="X28" s="64"/>
      <c r="Y28" s="64"/>
      <c r="Z28" s="64"/>
      <c r="AA28" s="64"/>
      <c r="AB28" s="64"/>
      <c r="AC28" s="64"/>
      <c r="AD28" s="64"/>
      <c r="AE28" s="64"/>
      <c r="AF28" s="64"/>
      <c r="AG28" s="64"/>
      <c r="AH28" s="64"/>
      <c r="AI28" s="64"/>
      <c r="AJ28" s="64"/>
      <c r="AK28" s="64"/>
      <c r="AL28" s="64"/>
      <c r="AM28" s="64"/>
      <c r="AN28" s="64"/>
      <c r="AO28" s="64"/>
      <c r="AP28" s="64"/>
      <c r="AQ28" s="64"/>
      <c r="AR28" s="64"/>
      <c r="AS28" s="64"/>
      <c r="AT28" s="64"/>
      <c r="AU28" s="64"/>
      <c r="AV28" s="64"/>
      <c r="AW28" s="64"/>
      <c r="AX28" s="64"/>
      <c r="AY28" s="64"/>
      <c r="AZ28" s="64"/>
      <c r="BA28" s="64"/>
      <c r="BB28" s="64"/>
      <c r="BC28" s="64"/>
      <c r="BD28" s="64"/>
      <c r="BE28" s="64"/>
      <c r="BF28" s="64"/>
      <c r="BG28" s="64"/>
      <c r="BH28" s="64"/>
      <c r="BI28" s="64"/>
      <c r="BJ28" s="64"/>
      <c r="BK28" s="64"/>
      <c r="BL28" s="64"/>
      <c r="BM28" s="64"/>
      <c r="BN28" s="64"/>
      <c r="BO28" s="64"/>
      <c r="BP28" s="64"/>
      <c r="BQ28" s="64"/>
      <c r="BR28" s="64"/>
      <c r="BS28" s="64"/>
      <c r="BT28" s="64"/>
      <c r="BU28" s="64"/>
      <c r="BV28" s="64"/>
      <c r="BW28" s="64"/>
      <c r="BX28" s="64"/>
      <c r="BY28" s="64"/>
      <c r="BZ28" s="64"/>
      <c r="CA28" s="64"/>
      <c r="CB28" s="64"/>
      <c r="CC28" s="64"/>
      <c r="CD28" s="64"/>
      <c r="CE28" s="64"/>
      <c r="CF28" s="64"/>
      <c r="CG28" s="64"/>
      <c r="CH28" s="64"/>
      <c r="CI28" s="64"/>
      <c r="CJ28" s="64"/>
      <c r="CK28" s="64"/>
      <c r="CL28" s="64"/>
      <c r="CM28" s="64"/>
      <c r="CN28" s="64"/>
      <c r="CO28" s="64"/>
      <c r="CP28" s="64"/>
      <c r="CQ28" s="64"/>
      <c r="CR28" s="64"/>
      <c r="CS28" s="64"/>
      <c r="CT28" s="64"/>
      <c r="CU28" s="64"/>
      <c r="CV28" s="64"/>
      <c r="CW28" s="64"/>
      <c r="CX28" s="64"/>
      <c r="CY28" s="64"/>
      <c r="CZ28" s="64"/>
      <c r="DA28" s="64"/>
      <c r="DB28" s="64"/>
      <c r="DC28" s="64"/>
      <c r="DD28" s="64"/>
      <c r="DE28" s="64"/>
      <c r="DF28" s="64"/>
      <c r="DG28" s="64"/>
      <c r="DH28" s="64"/>
      <c r="DI28" s="64"/>
      <c r="DJ28" s="64"/>
      <c r="DK28" s="64"/>
      <c r="DL28" s="64"/>
      <c r="DM28" s="64"/>
      <c r="DN28" s="64"/>
      <c r="DO28" s="64"/>
      <c r="DP28" s="64"/>
      <c r="DQ28" s="64"/>
      <c r="DR28" s="64"/>
      <c r="DS28" s="64"/>
      <c r="DT28" s="64"/>
      <c r="DU28" s="64"/>
      <c r="DV28" s="64"/>
      <c r="DW28" s="64"/>
      <c r="DX28" s="64"/>
      <c r="DY28" s="64"/>
      <c r="DZ28" s="64"/>
      <c r="EA28" s="64"/>
      <c r="EB28" s="64"/>
      <c r="EC28" s="64"/>
      <c r="ED28" s="64"/>
      <c r="EE28" s="64"/>
      <c r="EF28" s="64"/>
      <c r="EG28" s="64"/>
      <c r="EH28" s="64"/>
      <c r="EI28" s="64"/>
      <c r="EJ28" s="64"/>
      <c r="EK28" s="64"/>
      <c r="EL28" s="64"/>
      <c r="EM28" s="64"/>
      <c r="EN28" s="64"/>
      <c r="EO28" s="64"/>
      <c r="EP28" s="64"/>
      <c r="EQ28" s="64"/>
      <c r="ER28" s="64"/>
      <c r="ES28" s="64"/>
      <c r="ET28" s="64"/>
      <c r="EU28" s="64"/>
      <c r="EV28" s="64"/>
      <c r="EW28" s="64"/>
      <c r="EX28" s="64"/>
      <c r="EY28" s="64"/>
      <c r="EZ28" s="64"/>
      <c r="FA28" s="64"/>
      <c r="FB28" s="64"/>
      <c r="FC28" s="64"/>
      <c r="FD28" s="64"/>
      <c r="FE28" s="64"/>
      <c r="FF28" s="64"/>
      <c r="FG28" s="64"/>
      <c r="FH28" s="64"/>
      <c r="FI28" s="64"/>
      <c r="FJ28" s="64"/>
      <c r="FK28" s="64"/>
      <c r="FL28" s="64"/>
      <c r="FM28" s="64"/>
      <c r="FN28" s="64"/>
      <c r="FO28" s="64"/>
      <c r="FP28" s="64"/>
      <c r="FQ28" s="64"/>
      <c r="FR28" s="64"/>
      <c r="FS28" s="64"/>
      <c r="FT28" s="64"/>
      <c r="FU28" s="64"/>
      <c r="FV28" s="64"/>
      <c r="FW28" s="64"/>
      <c r="FX28" s="64"/>
      <c r="FY28" s="64"/>
      <c r="FZ28" s="64"/>
      <c r="GA28" s="64"/>
      <c r="GB28" s="64"/>
      <c r="GC28" s="64"/>
      <c r="GD28" s="64"/>
      <c r="GE28" s="64"/>
      <c r="GF28" s="64"/>
      <c r="GG28" s="64"/>
      <c r="GH28" s="64"/>
      <c r="GI28" s="64"/>
      <c r="GJ28" s="64"/>
      <c r="GK28" s="64"/>
      <c r="GL28" s="64"/>
      <c r="GM28" s="64"/>
      <c r="GN28" s="64"/>
      <c r="GO28" s="64"/>
      <c r="GP28" s="64"/>
      <c r="GQ28" s="64"/>
      <c r="GR28" s="64"/>
      <c r="GS28" s="64"/>
      <c r="GT28" s="64"/>
      <c r="GU28" s="64"/>
      <c r="GV28" s="64"/>
      <c r="GW28" s="64"/>
      <c r="GX28" s="64"/>
      <c r="GY28" s="64"/>
      <c r="GZ28" s="64"/>
      <c r="HA28" s="64"/>
      <c r="HB28" s="64"/>
      <c r="HC28" s="64"/>
      <c r="HD28" s="64"/>
      <c r="HE28" s="64"/>
      <c r="HF28" s="64"/>
      <c r="HG28" s="64"/>
      <c r="HH28" s="64"/>
      <c r="HI28" s="64"/>
      <c r="HJ28" s="64"/>
      <c r="HK28" s="64"/>
      <c r="HL28" s="64"/>
      <c r="HM28" s="64"/>
      <c r="HN28" s="64"/>
      <c r="HO28" s="64"/>
      <c r="HP28" s="64"/>
      <c r="HQ28" s="64"/>
      <c r="HR28" s="64"/>
      <c r="HS28" s="64"/>
      <c r="HT28" s="64"/>
      <c r="HU28" s="64"/>
      <c r="HV28" s="64"/>
      <c r="HW28" s="64"/>
      <c r="HX28" s="64"/>
      <c r="HY28" s="64"/>
      <c r="HZ28" s="64"/>
      <c r="IA28" s="64"/>
      <c r="IB28" s="64"/>
      <c r="IC28" s="64"/>
      <c r="ID28" s="64"/>
      <c r="IE28" s="64"/>
      <c r="IF28" s="64"/>
      <c r="IG28" s="64"/>
      <c r="IH28" s="64"/>
      <c r="II28" s="64"/>
      <c r="IJ28" s="64"/>
      <c r="IK28" s="64"/>
      <c r="IL28" s="64"/>
      <c r="IM28" s="64"/>
      <c r="IN28" s="64"/>
      <c r="IO28" s="64"/>
      <c r="IP28" s="64"/>
      <c r="IQ28" s="64"/>
      <c r="IR28" s="64"/>
      <c r="IS28" s="64"/>
      <c r="IT28" s="64"/>
      <c r="IU28" s="64"/>
      <c r="IV28" s="64"/>
      <c r="IW28" s="64"/>
    </row>
    <row r="29" spans="1:257" s="63" customFormat="1" ht="15" customHeight="1" x14ac:dyDescent="0.2">
      <c r="A29" s="237" t="s">
        <v>99</v>
      </c>
      <c r="B29" s="237"/>
      <c r="C29" s="237"/>
      <c r="D29" s="237"/>
      <c r="E29" s="237"/>
      <c r="F29" s="237"/>
      <c r="G29" s="237"/>
      <c r="H29" s="237"/>
      <c r="I29" s="91">
        <f ca="1">I22</f>
        <v>3674272.1453683339</v>
      </c>
      <c r="J29" s="89" t="e">
        <f>J27*J24</f>
        <v>#REF!</v>
      </c>
      <c r="K29" s="149">
        <v>3517522.22</v>
      </c>
    </row>
    <row r="30" spans="1:257" s="63" customFormat="1" ht="15" customHeight="1" x14ac:dyDescent="0.2">
      <c r="A30" s="234"/>
      <c r="B30" s="235"/>
      <c r="C30" s="235"/>
      <c r="D30" s="235"/>
      <c r="E30" s="235"/>
      <c r="F30" s="235"/>
      <c r="G30" s="235"/>
      <c r="H30" s="235"/>
      <c r="I30" s="235"/>
      <c r="J30" s="236"/>
      <c r="K30" s="149"/>
    </row>
    <row r="31" spans="1:257" ht="16.5" customHeight="1" x14ac:dyDescent="0.2">
      <c r="A31" s="244" t="s">
        <v>360</v>
      </c>
      <c r="B31" s="245"/>
      <c r="C31" s="245"/>
      <c r="D31" s="245"/>
      <c r="E31" s="245"/>
      <c r="F31" s="245"/>
      <c r="G31" s="245"/>
      <c r="H31" s="245"/>
      <c r="I31" s="245"/>
      <c r="J31" s="254"/>
    </row>
    <row r="32" spans="1:257" ht="21" customHeight="1" x14ac:dyDescent="0.2">
      <c r="A32" s="243" t="s">
        <v>361</v>
      </c>
      <c r="B32" s="243"/>
      <c r="C32" s="243"/>
      <c r="D32" s="243"/>
      <c r="E32" s="243"/>
      <c r="F32" s="243" t="s">
        <v>362</v>
      </c>
      <c r="G32" s="243"/>
      <c r="H32" s="243"/>
      <c r="I32" s="243"/>
      <c r="J32" s="243"/>
    </row>
    <row r="33" spans="1:11" ht="33.75" customHeight="1" x14ac:dyDescent="0.2">
      <c r="A33" s="243" t="s">
        <v>363</v>
      </c>
      <c r="B33" s="243"/>
      <c r="C33" s="243"/>
      <c r="D33" s="243"/>
      <c r="E33" s="243"/>
      <c r="F33" s="243" t="s">
        <v>364</v>
      </c>
      <c r="G33" s="243"/>
      <c r="H33" s="243"/>
      <c r="I33" s="243"/>
      <c r="J33" s="243"/>
    </row>
    <row r="34" spans="1:11" ht="18" customHeight="1" x14ac:dyDescent="0.2">
      <c r="A34" s="244" t="s">
        <v>365</v>
      </c>
      <c r="B34" s="245"/>
      <c r="C34" s="245"/>
      <c r="D34" s="245"/>
      <c r="E34" s="245"/>
      <c r="F34" s="245"/>
      <c r="G34" s="245"/>
      <c r="H34" s="245"/>
      <c r="I34" s="245"/>
      <c r="J34" s="254"/>
    </row>
    <row r="35" spans="1:11" ht="33.75" customHeight="1" x14ac:dyDescent="0.2">
      <c r="A35" s="255" t="s">
        <v>366</v>
      </c>
      <c r="B35" s="255"/>
      <c r="C35" s="255"/>
      <c r="D35" s="255"/>
      <c r="E35" s="255"/>
      <c r="F35" s="255"/>
      <c r="G35" s="255"/>
      <c r="H35" s="255"/>
      <c r="I35" s="255"/>
      <c r="J35" s="255"/>
    </row>
    <row r="36" spans="1:11" ht="18" customHeight="1" x14ac:dyDescent="0.2">
      <c r="A36" s="244" t="s">
        <v>367</v>
      </c>
      <c r="B36" s="245"/>
      <c r="C36" s="245"/>
      <c r="D36" s="245"/>
      <c r="E36" s="245"/>
      <c r="F36" s="245"/>
      <c r="G36" s="245"/>
      <c r="H36" s="245"/>
      <c r="I36" s="245"/>
      <c r="J36" s="254"/>
    </row>
    <row r="37" spans="1:11" ht="17.100000000000001" customHeight="1" x14ac:dyDescent="0.2">
      <c r="A37" s="243" t="s">
        <v>368</v>
      </c>
      <c r="B37" s="243"/>
      <c r="C37" s="243"/>
      <c r="D37" s="243"/>
      <c r="E37" s="243"/>
      <c r="F37" s="243"/>
      <c r="G37" s="243"/>
      <c r="H37" s="243"/>
      <c r="I37" s="243"/>
      <c r="J37" s="243"/>
    </row>
    <row r="38" spans="1:11" ht="17.100000000000001" customHeight="1" x14ac:dyDescent="0.2">
      <c r="A38" s="243" t="s">
        <v>369</v>
      </c>
      <c r="B38" s="243"/>
      <c r="C38" s="243"/>
      <c r="D38" s="243"/>
      <c r="E38" s="243"/>
      <c r="F38" s="243"/>
      <c r="G38" s="243"/>
      <c r="H38" s="243"/>
      <c r="I38" s="243"/>
      <c r="J38" s="243"/>
    </row>
    <row r="39" spans="1:11" ht="17.100000000000001" customHeight="1" x14ac:dyDescent="0.2">
      <c r="A39" s="243" t="s">
        <v>370</v>
      </c>
      <c r="B39" s="243"/>
      <c r="C39" s="243"/>
      <c r="D39" s="243"/>
      <c r="E39" s="243"/>
      <c r="F39" s="2" t="s">
        <v>410</v>
      </c>
      <c r="H39" s="163"/>
    </row>
    <row r="40" spans="1:11" ht="17.100000000000001" customHeight="1" x14ac:dyDescent="0.2">
      <c r="A40" s="243" t="s">
        <v>371</v>
      </c>
      <c r="B40" s="243"/>
      <c r="C40" s="243"/>
      <c r="D40" s="243"/>
      <c r="E40" s="243"/>
      <c r="F40" s="2" t="s">
        <v>372</v>
      </c>
      <c r="H40" s="163"/>
    </row>
    <row r="41" spans="1:11" ht="17.100000000000001" customHeight="1" x14ac:dyDescent="0.2">
      <c r="A41" s="243" t="s">
        <v>373</v>
      </c>
      <c r="B41" s="243"/>
      <c r="C41" s="243"/>
      <c r="D41" s="243"/>
      <c r="E41" s="243"/>
      <c r="F41" s="2" t="s">
        <v>374</v>
      </c>
      <c r="H41" s="163"/>
    </row>
    <row r="42" spans="1:11" ht="17.100000000000001" customHeight="1" x14ac:dyDescent="0.2">
      <c r="A42" s="243" t="s">
        <v>375</v>
      </c>
      <c r="B42" s="243"/>
      <c r="C42" s="243"/>
      <c r="D42" s="243"/>
      <c r="E42" s="243"/>
      <c r="F42" s="2" t="s">
        <v>376</v>
      </c>
      <c r="H42" s="163"/>
    </row>
    <row r="43" spans="1:11" ht="18" customHeight="1" x14ac:dyDescent="0.25">
      <c r="A43" s="244" t="s">
        <v>377</v>
      </c>
      <c r="B43" s="245"/>
      <c r="C43" s="245"/>
      <c r="D43" s="245"/>
      <c r="E43" s="245"/>
      <c r="F43" s="245"/>
      <c r="G43" s="245"/>
      <c r="H43" s="245"/>
      <c r="I43" s="245"/>
      <c r="J43" s="245"/>
      <c r="K43" s="164"/>
    </row>
    <row r="44" spans="1:11" ht="17.100000000000001" customHeight="1" x14ac:dyDescent="0.2">
      <c r="A44" s="246" t="s">
        <v>378</v>
      </c>
      <c r="B44" s="247"/>
      <c r="C44" s="247"/>
      <c r="D44" s="247"/>
      <c r="E44" s="247"/>
      <c r="F44" s="247"/>
      <c r="G44" s="247"/>
      <c r="H44" s="247"/>
      <c r="I44" s="247"/>
      <c r="J44" s="247"/>
    </row>
    <row r="45" spans="1:11" ht="17.100000000000001" customHeight="1" x14ac:dyDescent="0.2">
      <c r="A45" s="248" t="s">
        <v>389</v>
      </c>
      <c r="B45" s="243"/>
      <c r="C45" s="243"/>
      <c r="D45" s="243"/>
      <c r="E45" s="243"/>
      <c r="F45" s="243"/>
      <c r="G45" s="243"/>
      <c r="H45" s="249" t="s">
        <v>391</v>
      </c>
      <c r="I45" s="249"/>
      <c r="J45" s="165"/>
    </row>
    <row r="46" spans="1:11" ht="17.100000000000001" customHeight="1" x14ac:dyDescent="0.2">
      <c r="A46" s="250" t="s">
        <v>390</v>
      </c>
      <c r="B46" s="251"/>
      <c r="C46" s="251"/>
      <c r="D46" s="251"/>
      <c r="E46" s="251"/>
      <c r="F46" s="251"/>
      <c r="G46" s="251"/>
      <c r="H46" s="166"/>
      <c r="I46" s="252"/>
      <c r="J46" s="253"/>
    </row>
    <row r="47" spans="1:11" ht="33.75" customHeight="1" x14ac:dyDescent="0.2">
      <c r="A47" s="244" t="s">
        <v>379</v>
      </c>
      <c r="B47" s="245"/>
      <c r="C47" s="245"/>
      <c r="D47" s="245"/>
      <c r="E47" s="245"/>
      <c r="F47" s="245"/>
      <c r="G47" s="245"/>
      <c r="H47" s="245"/>
      <c r="I47" s="245"/>
      <c r="J47" s="254"/>
    </row>
    <row r="48" spans="1:11" s="167" customFormat="1" ht="27.75" customHeight="1" x14ac:dyDescent="0.2">
      <c r="A48" s="240" t="s">
        <v>437</v>
      </c>
      <c r="B48" s="240"/>
      <c r="C48" s="240"/>
      <c r="D48" s="240"/>
      <c r="E48" s="240"/>
      <c r="F48" s="240"/>
      <c r="G48" s="240"/>
      <c r="H48" s="240"/>
      <c r="I48" s="240"/>
      <c r="J48" s="240"/>
    </row>
    <row r="49" spans="1:10" s="167" customFormat="1" ht="24.75" hidden="1" customHeight="1" x14ac:dyDescent="0.2">
      <c r="A49" s="240" t="s">
        <v>380</v>
      </c>
      <c r="B49" s="240"/>
      <c r="C49" s="240"/>
      <c r="D49" s="240"/>
      <c r="E49" s="240"/>
      <c r="F49" s="240"/>
      <c r="G49" s="240"/>
      <c r="H49" s="240"/>
      <c r="I49" s="240"/>
      <c r="J49" s="240"/>
    </row>
    <row r="50" spans="1:10" s="167" customFormat="1" ht="36.75" hidden="1" customHeight="1" x14ac:dyDescent="0.2">
      <c r="A50" s="240" t="s">
        <v>381</v>
      </c>
      <c r="B50" s="240"/>
      <c r="C50" s="240"/>
      <c r="D50" s="240"/>
      <c r="E50" s="240"/>
      <c r="F50" s="240"/>
      <c r="G50" s="240"/>
      <c r="H50" s="240"/>
      <c r="I50" s="240"/>
      <c r="J50" s="240"/>
    </row>
    <row r="51" spans="1:10" s="167" customFormat="1" ht="38.25" hidden="1" customHeight="1" x14ac:dyDescent="0.2">
      <c r="A51" s="240" t="s">
        <v>382</v>
      </c>
      <c r="B51" s="240"/>
      <c r="C51" s="240"/>
      <c r="D51" s="240"/>
      <c r="E51" s="240"/>
      <c r="F51" s="240"/>
      <c r="G51" s="240"/>
      <c r="H51" s="240"/>
      <c r="I51" s="240"/>
      <c r="J51" s="240"/>
    </row>
    <row r="52" spans="1:10" s="167" customFormat="1" ht="38.25" hidden="1" customHeight="1" x14ac:dyDescent="0.2">
      <c r="A52" s="240" t="s">
        <v>383</v>
      </c>
      <c r="B52" s="240"/>
      <c r="C52" s="240"/>
      <c r="D52" s="240"/>
      <c r="E52" s="240"/>
      <c r="F52" s="240"/>
      <c r="G52" s="240"/>
      <c r="H52" s="240"/>
      <c r="I52" s="240"/>
      <c r="J52" s="240"/>
    </row>
    <row r="53" spans="1:10" s="167" customFormat="1" ht="57.75" hidden="1" customHeight="1" x14ac:dyDescent="0.2">
      <c r="A53" s="241" t="s">
        <v>384</v>
      </c>
      <c r="B53" s="241"/>
      <c r="C53" s="241"/>
      <c r="D53" s="241"/>
      <c r="E53" s="241"/>
      <c r="F53" s="241"/>
      <c r="G53" s="241"/>
      <c r="H53" s="241"/>
      <c r="I53" s="241"/>
      <c r="J53" s="241"/>
    </row>
    <row r="54" spans="1:10" s="167" customFormat="1" ht="30.75" customHeight="1" x14ac:dyDescent="0.2">
      <c r="A54" s="240" t="s">
        <v>385</v>
      </c>
      <c r="B54" s="240"/>
      <c r="C54" s="240"/>
      <c r="D54" s="240"/>
      <c r="E54" s="240"/>
      <c r="F54" s="240"/>
      <c r="G54" s="240"/>
      <c r="H54" s="240"/>
      <c r="I54" s="240"/>
      <c r="J54" s="79"/>
    </row>
    <row r="55" spans="1:10" s="167" customFormat="1" ht="30.75" customHeight="1" x14ac:dyDescent="0.2">
      <c r="A55" s="240" t="s">
        <v>386</v>
      </c>
      <c r="B55" s="240"/>
      <c r="C55" s="240"/>
      <c r="D55" s="240"/>
      <c r="E55" s="240"/>
      <c r="F55" s="240"/>
      <c r="G55" s="240"/>
      <c r="H55" s="240"/>
      <c r="I55" s="240"/>
      <c r="J55" s="79"/>
    </row>
    <row r="56" spans="1:10" s="167" customFormat="1" ht="31.5" customHeight="1" x14ac:dyDescent="0.25">
      <c r="A56" s="239" t="s">
        <v>435</v>
      </c>
      <c r="B56" s="239"/>
      <c r="C56" s="239"/>
      <c r="D56" s="239"/>
      <c r="E56" s="239"/>
      <c r="F56" s="239"/>
      <c r="G56" s="239"/>
      <c r="H56" s="242"/>
      <c r="I56" s="242"/>
      <c r="J56" s="242"/>
    </row>
    <row r="57" spans="1:10" ht="15.75" x14ac:dyDescent="0.2">
      <c r="A57" s="238"/>
      <c r="B57" s="238"/>
      <c r="C57" s="238"/>
      <c r="D57" s="238"/>
      <c r="E57" s="238"/>
      <c r="F57" s="238"/>
      <c r="H57" s="79"/>
      <c r="I57" s="79"/>
      <c r="J57" s="79"/>
    </row>
    <row r="58" spans="1:10" ht="15.75" x14ac:dyDescent="0.2">
      <c r="A58" s="239"/>
      <c r="B58" s="239"/>
      <c r="C58" s="239"/>
      <c r="D58" s="239"/>
      <c r="E58" s="239"/>
      <c r="F58" s="239"/>
      <c r="G58" s="239"/>
      <c r="H58" s="79"/>
      <c r="I58" s="79"/>
      <c r="J58" s="79"/>
    </row>
    <row r="59" spans="1:10" ht="15.75" x14ac:dyDescent="0.2">
      <c r="A59" s="239"/>
      <c r="B59" s="239"/>
      <c r="C59" s="239"/>
      <c r="D59" s="239"/>
      <c r="E59" s="239"/>
      <c r="F59" s="239"/>
      <c r="G59" s="239"/>
      <c r="H59" s="79"/>
      <c r="I59" s="79"/>
      <c r="J59" s="79"/>
    </row>
    <row r="60" spans="1:10" ht="15.75" x14ac:dyDescent="0.2">
      <c r="A60" s="239"/>
      <c r="B60" s="239"/>
      <c r="C60" s="239"/>
      <c r="D60" s="239"/>
      <c r="E60" s="239"/>
      <c r="F60" s="239"/>
      <c r="G60" s="239"/>
      <c r="H60" s="79"/>
      <c r="I60" s="79"/>
      <c r="J60" s="79"/>
    </row>
    <row r="61" spans="1:10" ht="15.75" x14ac:dyDescent="0.2">
      <c r="A61" s="239"/>
      <c r="B61" s="239"/>
      <c r="C61" s="239"/>
      <c r="D61" s="239"/>
      <c r="E61" s="239"/>
      <c r="F61" s="239"/>
      <c r="G61" s="239"/>
      <c r="H61" s="79"/>
      <c r="I61" s="79"/>
      <c r="J61" s="79"/>
    </row>
    <row r="62" spans="1:10" ht="15.75" x14ac:dyDescent="0.2">
      <c r="A62" s="79"/>
      <c r="B62" s="79"/>
      <c r="C62" s="79"/>
      <c r="D62" s="79"/>
      <c r="E62" s="79"/>
      <c r="F62" s="79"/>
      <c r="H62" s="79"/>
      <c r="I62" s="79"/>
      <c r="J62" s="79"/>
    </row>
    <row r="63" spans="1:10" ht="15.75" x14ac:dyDescent="0.2">
      <c r="A63" s="79"/>
      <c r="B63" s="79"/>
      <c r="C63" s="79"/>
      <c r="D63" s="79"/>
      <c r="E63" s="79"/>
      <c r="F63" s="79"/>
      <c r="G63" s="79"/>
      <c r="H63" s="79"/>
      <c r="I63" s="79"/>
      <c r="J63" s="79"/>
    </row>
  </sheetData>
  <mergeCells count="53">
    <mergeCell ref="A10:J10"/>
    <mergeCell ref="B2:J2"/>
    <mergeCell ref="A5:G5"/>
    <mergeCell ref="A6:G6"/>
    <mergeCell ref="A7:G7"/>
    <mergeCell ref="A9:J9"/>
    <mergeCell ref="A29:H29"/>
    <mergeCell ref="A11:F11"/>
    <mergeCell ref="A12:J12"/>
    <mergeCell ref="A13:F13"/>
    <mergeCell ref="G13:J13"/>
    <mergeCell ref="A22:D22"/>
    <mergeCell ref="A23:J23"/>
    <mergeCell ref="A24:H24"/>
    <mergeCell ref="A25:J25"/>
    <mergeCell ref="A26:J26"/>
    <mergeCell ref="A27:H27"/>
    <mergeCell ref="A28:J28"/>
    <mergeCell ref="A15:A16"/>
    <mergeCell ref="B15:B16"/>
    <mergeCell ref="A39:E39"/>
    <mergeCell ref="A30:J30"/>
    <mergeCell ref="A31:J31"/>
    <mergeCell ref="A32:E32"/>
    <mergeCell ref="F32:J32"/>
    <mergeCell ref="A33:E33"/>
    <mergeCell ref="F33:J33"/>
    <mergeCell ref="A34:J34"/>
    <mergeCell ref="A35:J35"/>
    <mergeCell ref="A36:J36"/>
    <mergeCell ref="A37:J37"/>
    <mergeCell ref="A38:J38"/>
    <mergeCell ref="A50:J50"/>
    <mergeCell ref="A40:E40"/>
    <mergeCell ref="A41:E41"/>
    <mergeCell ref="A42:E42"/>
    <mergeCell ref="A43:J43"/>
    <mergeCell ref="A44:J44"/>
    <mergeCell ref="A45:G45"/>
    <mergeCell ref="H45:I45"/>
    <mergeCell ref="A46:G46"/>
    <mergeCell ref="I46:J46"/>
    <mergeCell ref="A47:J47"/>
    <mergeCell ref="A48:J48"/>
    <mergeCell ref="A49:J49"/>
    <mergeCell ref="A57:F57"/>
    <mergeCell ref="A58:G61"/>
    <mergeCell ref="A51:J51"/>
    <mergeCell ref="A52:J52"/>
    <mergeCell ref="A53:J53"/>
    <mergeCell ref="A54:I54"/>
    <mergeCell ref="A55:I55"/>
    <mergeCell ref="A56:J56"/>
  </mergeCells>
  <printOptions horizontalCentered="1" verticalCentered="1"/>
  <pageMargins left="0.51181102362204722" right="0.51181102362204722" top="0.78740157480314965" bottom="0.78740157480314965" header="0.31496062992125984" footer="0.31496062992125984"/>
  <pageSetup paperSize="9" scale="55" orientation="portrait" horizontalDpi="360" verticalDpi="36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ACE351-3360-486D-B5CB-91C42593D63C}">
  <dimension ref="A1:IT19"/>
  <sheetViews>
    <sheetView tabSelected="1" view="pageBreakPreview" zoomScale="120" zoomScaleNormal="100" zoomScaleSheetLayoutView="120" workbookViewId="0">
      <selection activeCell="A3" sqref="A3:H11"/>
    </sheetView>
  </sheetViews>
  <sheetFormatPr defaultRowHeight="15" x14ac:dyDescent="0.2"/>
  <cols>
    <col min="1" max="1" width="6.5703125" style="2" customWidth="1"/>
    <col min="2" max="2" width="20.85546875" style="2" customWidth="1"/>
    <col min="3" max="3" width="23.140625" style="2" customWidth="1"/>
    <col min="4" max="4" width="14.5703125" style="2" customWidth="1"/>
    <col min="5" max="5" width="12.42578125" style="2" customWidth="1"/>
    <col min="6" max="6" width="12.140625" style="2" customWidth="1"/>
    <col min="7" max="7" width="15.28515625" style="2" customWidth="1"/>
    <col min="8" max="9" width="16.42578125" style="2" customWidth="1"/>
    <col min="10" max="10" width="19.140625" style="2" hidden="1" customWidth="1"/>
    <col min="11" max="245" width="9.140625" style="2"/>
    <col min="246" max="246" width="3.28515625" style="2" customWidth="1"/>
    <col min="247" max="247" width="29" style="2" customWidth="1"/>
    <col min="248" max="248" width="14" style="2" customWidth="1"/>
    <col min="249" max="249" width="11.28515625" style="2" customWidth="1"/>
    <col min="250" max="250" width="16.7109375" style="2" customWidth="1"/>
    <col min="251" max="251" width="8.85546875" style="2" customWidth="1"/>
    <col min="252" max="252" width="29" style="2" customWidth="1"/>
    <col min="253" max="501" width="9.140625" style="2"/>
    <col min="502" max="502" width="3.28515625" style="2" customWidth="1"/>
    <col min="503" max="503" width="29" style="2" customWidth="1"/>
    <col min="504" max="504" width="14" style="2" customWidth="1"/>
    <col min="505" max="505" width="11.28515625" style="2" customWidth="1"/>
    <col min="506" max="506" width="16.7109375" style="2" customWidth="1"/>
    <col min="507" max="507" width="8.85546875" style="2" customWidth="1"/>
    <col min="508" max="508" width="29" style="2" customWidth="1"/>
    <col min="509" max="757" width="9.140625" style="2"/>
    <col min="758" max="758" width="3.28515625" style="2" customWidth="1"/>
    <col min="759" max="759" width="29" style="2" customWidth="1"/>
    <col min="760" max="760" width="14" style="2" customWidth="1"/>
    <col min="761" max="761" width="11.28515625" style="2" customWidth="1"/>
    <col min="762" max="762" width="16.7109375" style="2" customWidth="1"/>
    <col min="763" max="763" width="8.85546875" style="2" customWidth="1"/>
    <col min="764" max="764" width="29" style="2" customWidth="1"/>
    <col min="765" max="1013" width="9.140625" style="2"/>
    <col min="1014" max="1014" width="3.28515625" style="2" customWidth="1"/>
    <col min="1015" max="1015" width="29" style="2" customWidth="1"/>
    <col min="1016" max="1016" width="14" style="2" customWidth="1"/>
    <col min="1017" max="1017" width="11.28515625" style="2" customWidth="1"/>
    <col min="1018" max="1018" width="16.7109375" style="2" customWidth="1"/>
    <col min="1019" max="1019" width="8.85546875" style="2" customWidth="1"/>
    <col min="1020" max="1020" width="29" style="2" customWidth="1"/>
    <col min="1021" max="1269" width="9.140625" style="2"/>
    <col min="1270" max="1270" width="3.28515625" style="2" customWidth="1"/>
    <col min="1271" max="1271" width="29" style="2" customWidth="1"/>
    <col min="1272" max="1272" width="14" style="2" customWidth="1"/>
    <col min="1273" max="1273" width="11.28515625" style="2" customWidth="1"/>
    <col min="1274" max="1274" width="16.7109375" style="2" customWidth="1"/>
    <col min="1275" max="1275" width="8.85546875" style="2" customWidth="1"/>
    <col min="1276" max="1276" width="29" style="2" customWidth="1"/>
    <col min="1277" max="1525" width="9.140625" style="2"/>
    <col min="1526" max="1526" width="3.28515625" style="2" customWidth="1"/>
    <col min="1527" max="1527" width="29" style="2" customWidth="1"/>
    <col min="1528" max="1528" width="14" style="2" customWidth="1"/>
    <col min="1529" max="1529" width="11.28515625" style="2" customWidth="1"/>
    <col min="1530" max="1530" width="16.7109375" style="2" customWidth="1"/>
    <col min="1531" max="1531" width="8.85546875" style="2" customWidth="1"/>
    <col min="1532" max="1532" width="29" style="2" customWidth="1"/>
    <col min="1533" max="1781" width="9.140625" style="2"/>
    <col min="1782" max="1782" width="3.28515625" style="2" customWidth="1"/>
    <col min="1783" max="1783" width="29" style="2" customWidth="1"/>
    <col min="1784" max="1784" width="14" style="2" customWidth="1"/>
    <col min="1785" max="1785" width="11.28515625" style="2" customWidth="1"/>
    <col min="1786" max="1786" width="16.7109375" style="2" customWidth="1"/>
    <col min="1787" max="1787" width="8.85546875" style="2" customWidth="1"/>
    <col min="1788" max="1788" width="29" style="2" customWidth="1"/>
    <col min="1789" max="2037" width="9.140625" style="2"/>
    <col min="2038" max="2038" width="3.28515625" style="2" customWidth="1"/>
    <col min="2039" max="2039" width="29" style="2" customWidth="1"/>
    <col min="2040" max="2040" width="14" style="2" customWidth="1"/>
    <col min="2041" max="2041" width="11.28515625" style="2" customWidth="1"/>
    <col min="2042" max="2042" width="16.7109375" style="2" customWidth="1"/>
    <col min="2043" max="2043" width="8.85546875" style="2" customWidth="1"/>
    <col min="2044" max="2044" width="29" style="2" customWidth="1"/>
    <col min="2045" max="2293" width="9.140625" style="2"/>
    <col min="2294" max="2294" width="3.28515625" style="2" customWidth="1"/>
    <col min="2295" max="2295" width="29" style="2" customWidth="1"/>
    <col min="2296" max="2296" width="14" style="2" customWidth="1"/>
    <col min="2297" max="2297" width="11.28515625" style="2" customWidth="1"/>
    <col min="2298" max="2298" width="16.7109375" style="2" customWidth="1"/>
    <col min="2299" max="2299" width="8.85546875" style="2" customWidth="1"/>
    <col min="2300" max="2300" width="29" style="2" customWidth="1"/>
    <col min="2301" max="2549" width="9.140625" style="2"/>
    <col min="2550" max="2550" width="3.28515625" style="2" customWidth="1"/>
    <col min="2551" max="2551" width="29" style="2" customWidth="1"/>
    <col min="2552" max="2552" width="14" style="2" customWidth="1"/>
    <col min="2553" max="2553" width="11.28515625" style="2" customWidth="1"/>
    <col min="2554" max="2554" width="16.7109375" style="2" customWidth="1"/>
    <col min="2555" max="2555" width="8.85546875" style="2" customWidth="1"/>
    <col min="2556" max="2556" width="29" style="2" customWidth="1"/>
    <col min="2557" max="2805" width="9.140625" style="2"/>
    <col min="2806" max="2806" width="3.28515625" style="2" customWidth="1"/>
    <col min="2807" max="2807" width="29" style="2" customWidth="1"/>
    <col min="2808" max="2808" width="14" style="2" customWidth="1"/>
    <col min="2809" max="2809" width="11.28515625" style="2" customWidth="1"/>
    <col min="2810" max="2810" width="16.7109375" style="2" customWidth="1"/>
    <col min="2811" max="2811" width="8.85546875" style="2" customWidth="1"/>
    <col min="2812" max="2812" width="29" style="2" customWidth="1"/>
    <col min="2813" max="3061" width="9.140625" style="2"/>
    <col min="3062" max="3062" width="3.28515625" style="2" customWidth="1"/>
    <col min="3063" max="3063" width="29" style="2" customWidth="1"/>
    <col min="3064" max="3064" width="14" style="2" customWidth="1"/>
    <col min="3065" max="3065" width="11.28515625" style="2" customWidth="1"/>
    <col min="3066" max="3066" width="16.7109375" style="2" customWidth="1"/>
    <col min="3067" max="3067" width="8.85546875" style="2" customWidth="1"/>
    <col min="3068" max="3068" width="29" style="2" customWidth="1"/>
    <col min="3069" max="3317" width="9.140625" style="2"/>
    <col min="3318" max="3318" width="3.28515625" style="2" customWidth="1"/>
    <col min="3319" max="3319" width="29" style="2" customWidth="1"/>
    <col min="3320" max="3320" width="14" style="2" customWidth="1"/>
    <col min="3321" max="3321" width="11.28515625" style="2" customWidth="1"/>
    <col min="3322" max="3322" width="16.7109375" style="2" customWidth="1"/>
    <col min="3323" max="3323" width="8.85546875" style="2" customWidth="1"/>
    <col min="3324" max="3324" width="29" style="2" customWidth="1"/>
    <col min="3325" max="3573" width="9.140625" style="2"/>
    <col min="3574" max="3574" width="3.28515625" style="2" customWidth="1"/>
    <col min="3575" max="3575" width="29" style="2" customWidth="1"/>
    <col min="3576" max="3576" width="14" style="2" customWidth="1"/>
    <col min="3577" max="3577" width="11.28515625" style="2" customWidth="1"/>
    <col min="3578" max="3578" width="16.7109375" style="2" customWidth="1"/>
    <col min="3579" max="3579" width="8.85546875" style="2" customWidth="1"/>
    <col min="3580" max="3580" width="29" style="2" customWidth="1"/>
    <col min="3581" max="3829" width="9.140625" style="2"/>
    <col min="3830" max="3830" width="3.28515625" style="2" customWidth="1"/>
    <col min="3831" max="3831" width="29" style="2" customWidth="1"/>
    <col min="3832" max="3832" width="14" style="2" customWidth="1"/>
    <col min="3833" max="3833" width="11.28515625" style="2" customWidth="1"/>
    <col min="3834" max="3834" width="16.7109375" style="2" customWidth="1"/>
    <col min="3835" max="3835" width="8.85546875" style="2" customWidth="1"/>
    <col min="3836" max="3836" width="29" style="2" customWidth="1"/>
    <col min="3837" max="4085" width="9.140625" style="2"/>
    <col min="4086" max="4086" width="3.28515625" style="2" customWidth="1"/>
    <col min="4087" max="4087" width="29" style="2" customWidth="1"/>
    <col min="4088" max="4088" width="14" style="2" customWidth="1"/>
    <col min="4089" max="4089" width="11.28515625" style="2" customWidth="1"/>
    <col min="4090" max="4090" width="16.7109375" style="2" customWidth="1"/>
    <col min="4091" max="4091" width="8.85546875" style="2" customWidth="1"/>
    <col min="4092" max="4092" width="29" style="2" customWidth="1"/>
    <col min="4093" max="4341" width="9.140625" style="2"/>
    <col min="4342" max="4342" width="3.28515625" style="2" customWidth="1"/>
    <col min="4343" max="4343" width="29" style="2" customWidth="1"/>
    <col min="4344" max="4344" width="14" style="2" customWidth="1"/>
    <col min="4345" max="4345" width="11.28515625" style="2" customWidth="1"/>
    <col min="4346" max="4346" width="16.7109375" style="2" customWidth="1"/>
    <col min="4347" max="4347" width="8.85546875" style="2" customWidth="1"/>
    <col min="4348" max="4348" width="29" style="2" customWidth="1"/>
    <col min="4349" max="4597" width="9.140625" style="2"/>
    <col min="4598" max="4598" width="3.28515625" style="2" customWidth="1"/>
    <col min="4599" max="4599" width="29" style="2" customWidth="1"/>
    <col min="4600" max="4600" width="14" style="2" customWidth="1"/>
    <col min="4601" max="4601" width="11.28515625" style="2" customWidth="1"/>
    <col min="4602" max="4602" width="16.7109375" style="2" customWidth="1"/>
    <col min="4603" max="4603" width="8.85546875" style="2" customWidth="1"/>
    <col min="4604" max="4604" width="29" style="2" customWidth="1"/>
    <col min="4605" max="4853" width="9.140625" style="2"/>
    <col min="4854" max="4854" width="3.28515625" style="2" customWidth="1"/>
    <col min="4855" max="4855" width="29" style="2" customWidth="1"/>
    <col min="4856" max="4856" width="14" style="2" customWidth="1"/>
    <col min="4857" max="4857" width="11.28515625" style="2" customWidth="1"/>
    <col min="4858" max="4858" width="16.7109375" style="2" customWidth="1"/>
    <col min="4859" max="4859" width="8.85546875" style="2" customWidth="1"/>
    <col min="4860" max="4860" width="29" style="2" customWidth="1"/>
    <col min="4861" max="5109" width="9.140625" style="2"/>
    <col min="5110" max="5110" width="3.28515625" style="2" customWidth="1"/>
    <col min="5111" max="5111" width="29" style="2" customWidth="1"/>
    <col min="5112" max="5112" width="14" style="2" customWidth="1"/>
    <col min="5113" max="5113" width="11.28515625" style="2" customWidth="1"/>
    <col min="5114" max="5114" width="16.7109375" style="2" customWidth="1"/>
    <col min="5115" max="5115" width="8.85546875" style="2" customWidth="1"/>
    <col min="5116" max="5116" width="29" style="2" customWidth="1"/>
    <col min="5117" max="5365" width="9.140625" style="2"/>
    <col min="5366" max="5366" width="3.28515625" style="2" customWidth="1"/>
    <col min="5367" max="5367" width="29" style="2" customWidth="1"/>
    <col min="5368" max="5368" width="14" style="2" customWidth="1"/>
    <col min="5369" max="5369" width="11.28515625" style="2" customWidth="1"/>
    <col min="5370" max="5370" width="16.7109375" style="2" customWidth="1"/>
    <col min="5371" max="5371" width="8.85546875" style="2" customWidth="1"/>
    <col min="5372" max="5372" width="29" style="2" customWidth="1"/>
    <col min="5373" max="5621" width="9.140625" style="2"/>
    <col min="5622" max="5622" width="3.28515625" style="2" customWidth="1"/>
    <col min="5623" max="5623" width="29" style="2" customWidth="1"/>
    <col min="5624" max="5624" width="14" style="2" customWidth="1"/>
    <col min="5625" max="5625" width="11.28515625" style="2" customWidth="1"/>
    <col min="5626" max="5626" width="16.7109375" style="2" customWidth="1"/>
    <col min="5627" max="5627" width="8.85546875" style="2" customWidth="1"/>
    <col min="5628" max="5628" width="29" style="2" customWidth="1"/>
    <col min="5629" max="5877" width="9.140625" style="2"/>
    <col min="5878" max="5878" width="3.28515625" style="2" customWidth="1"/>
    <col min="5879" max="5879" width="29" style="2" customWidth="1"/>
    <col min="5880" max="5880" width="14" style="2" customWidth="1"/>
    <col min="5881" max="5881" width="11.28515625" style="2" customWidth="1"/>
    <col min="5882" max="5882" width="16.7109375" style="2" customWidth="1"/>
    <col min="5883" max="5883" width="8.85546875" style="2" customWidth="1"/>
    <col min="5884" max="5884" width="29" style="2" customWidth="1"/>
    <col min="5885" max="6133" width="9.140625" style="2"/>
    <col min="6134" max="6134" width="3.28515625" style="2" customWidth="1"/>
    <col min="6135" max="6135" width="29" style="2" customWidth="1"/>
    <col min="6136" max="6136" width="14" style="2" customWidth="1"/>
    <col min="6137" max="6137" width="11.28515625" style="2" customWidth="1"/>
    <col min="6138" max="6138" width="16.7109375" style="2" customWidth="1"/>
    <col min="6139" max="6139" width="8.85546875" style="2" customWidth="1"/>
    <col min="6140" max="6140" width="29" style="2" customWidth="1"/>
    <col min="6141" max="6389" width="9.140625" style="2"/>
    <col min="6390" max="6390" width="3.28515625" style="2" customWidth="1"/>
    <col min="6391" max="6391" width="29" style="2" customWidth="1"/>
    <col min="6392" max="6392" width="14" style="2" customWidth="1"/>
    <col min="6393" max="6393" width="11.28515625" style="2" customWidth="1"/>
    <col min="6394" max="6394" width="16.7109375" style="2" customWidth="1"/>
    <col min="6395" max="6395" width="8.85546875" style="2" customWidth="1"/>
    <col min="6396" max="6396" width="29" style="2" customWidth="1"/>
    <col min="6397" max="6645" width="9.140625" style="2"/>
    <col min="6646" max="6646" width="3.28515625" style="2" customWidth="1"/>
    <col min="6647" max="6647" width="29" style="2" customWidth="1"/>
    <col min="6648" max="6648" width="14" style="2" customWidth="1"/>
    <col min="6649" max="6649" width="11.28515625" style="2" customWidth="1"/>
    <col min="6650" max="6650" width="16.7109375" style="2" customWidth="1"/>
    <col min="6651" max="6651" width="8.85546875" style="2" customWidth="1"/>
    <col min="6652" max="6652" width="29" style="2" customWidth="1"/>
    <col min="6653" max="6901" width="9.140625" style="2"/>
    <col min="6902" max="6902" width="3.28515625" style="2" customWidth="1"/>
    <col min="6903" max="6903" width="29" style="2" customWidth="1"/>
    <col min="6904" max="6904" width="14" style="2" customWidth="1"/>
    <col min="6905" max="6905" width="11.28515625" style="2" customWidth="1"/>
    <col min="6906" max="6906" width="16.7109375" style="2" customWidth="1"/>
    <col min="6907" max="6907" width="8.85546875" style="2" customWidth="1"/>
    <col min="6908" max="6908" width="29" style="2" customWidth="1"/>
    <col min="6909" max="7157" width="9.140625" style="2"/>
    <col min="7158" max="7158" width="3.28515625" style="2" customWidth="1"/>
    <col min="7159" max="7159" width="29" style="2" customWidth="1"/>
    <col min="7160" max="7160" width="14" style="2" customWidth="1"/>
    <col min="7161" max="7161" width="11.28515625" style="2" customWidth="1"/>
    <col min="7162" max="7162" width="16.7109375" style="2" customWidth="1"/>
    <col min="7163" max="7163" width="8.85546875" style="2" customWidth="1"/>
    <col min="7164" max="7164" width="29" style="2" customWidth="1"/>
    <col min="7165" max="7413" width="9.140625" style="2"/>
    <col min="7414" max="7414" width="3.28515625" style="2" customWidth="1"/>
    <col min="7415" max="7415" width="29" style="2" customWidth="1"/>
    <col min="7416" max="7416" width="14" style="2" customWidth="1"/>
    <col min="7417" max="7417" width="11.28515625" style="2" customWidth="1"/>
    <col min="7418" max="7418" width="16.7109375" style="2" customWidth="1"/>
    <col min="7419" max="7419" width="8.85546875" style="2" customWidth="1"/>
    <col min="7420" max="7420" width="29" style="2" customWidth="1"/>
    <col min="7421" max="7669" width="9.140625" style="2"/>
    <col min="7670" max="7670" width="3.28515625" style="2" customWidth="1"/>
    <col min="7671" max="7671" width="29" style="2" customWidth="1"/>
    <col min="7672" max="7672" width="14" style="2" customWidth="1"/>
    <col min="7673" max="7673" width="11.28515625" style="2" customWidth="1"/>
    <col min="7674" max="7674" width="16.7109375" style="2" customWidth="1"/>
    <col min="7675" max="7675" width="8.85546875" style="2" customWidth="1"/>
    <col min="7676" max="7676" width="29" style="2" customWidth="1"/>
    <col min="7677" max="7925" width="9.140625" style="2"/>
    <col min="7926" max="7926" width="3.28515625" style="2" customWidth="1"/>
    <col min="7927" max="7927" width="29" style="2" customWidth="1"/>
    <col min="7928" max="7928" width="14" style="2" customWidth="1"/>
    <col min="7929" max="7929" width="11.28515625" style="2" customWidth="1"/>
    <col min="7930" max="7930" width="16.7109375" style="2" customWidth="1"/>
    <col min="7931" max="7931" width="8.85546875" style="2" customWidth="1"/>
    <col min="7932" max="7932" width="29" style="2" customWidth="1"/>
    <col min="7933" max="8181" width="9.140625" style="2"/>
    <col min="8182" max="8182" width="3.28515625" style="2" customWidth="1"/>
    <col min="8183" max="8183" width="29" style="2" customWidth="1"/>
    <col min="8184" max="8184" width="14" style="2" customWidth="1"/>
    <col min="8185" max="8185" width="11.28515625" style="2" customWidth="1"/>
    <col min="8186" max="8186" width="16.7109375" style="2" customWidth="1"/>
    <col min="8187" max="8187" width="8.85546875" style="2" customWidth="1"/>
    <col min="8188" max="8188" width="29" style="2" customWidth="1"/>
    <col min="8189" max="8437" width="9.140625" style="2"/>
    <col min="8438" max="8438" width="3.28515625" style="2" customWidth="1"/>
    <col min="8439" max="8439" width="29" style="2" customWidth="1"/>
    <col min="8440" max="8440" width="14" style="2" customWidth="1"/>
    <col min="8441" max="8441" width="11.28515625" style="2" customWidth="1"/>
    <col min="8442" max="8442" width="16.7109375" style="2" customWidth="1"/>
    <col min="8443" max="8443" width="8.85546875" style="2" customWidth="1"/>
    <col min="8444" max="8444" width="29" style="2" customWidth="1"/>
    <col min="8445" max="8693" width="9.140625" style="2"/>
    <col min="8694" max="8694" width="3.28515625" style="2" customWidth="1"/>
    <col min="8695" max="8695" width="29" style="2" customWidth="1"/>
    <col min="8696" max="8696" width="14" style="2" customWidth="1"/>
    <col min="8697" max="8697" width="11.28515625" style="2" customWidth="1"/>
    <col min="8698" max="8698" width="16.7109375" style="2" customWidth="1"/>
    <col min="8699" max="8699" width="8.85546875" style="2" customWidth="1"/>
    <col min="8700" max="8700" width="29" style="2" customWidth="1"/>
    <col min="8701" max="8949" width="9.140625" style="2"/>
    <col min="8950" max="8950" width="3.28515625" style="2" customWidth="1"/>
    <col min="8951" max="8951" width="29" style="2" customWidth="1"/>
    <col min="8952" max="8952" width="14" style="2" customWidth="1"/>
    <col min="8953" max="8953" width="11.28515625" style="2" customWidth="1"/>
    <col min="8954" max="8954" width="16.7109375" style="2" customWidth="1"/>
    <col min="8955" max="8955" width="8.85546875" style="2" customWidth="1"/>
    <col min="8956" max="8956" width="29" style="2" customWidth="1"/>
    <col min="8957" max="9205" width="9.140625" style="2"/>
    <col min="9206" max="9206" width="3.28515625" style="2" customWidth="1"/>
    <col min="9207" max="9207" width="29" style="2" customWidth="1"/>
    <col min="9208" max="9208" width="14" style="2" customWidth="1"/>
    <col min="9209" max="9209" width="11.28515625" style="2" customWidth="1"/>
    <col min="9210" max="9210" width="16.7109375" style="2" customWidth="1"/>
    <col min="9211" max="9211" width="8.85546875" style="2" customWidth="1"/>
    <col min="9212" max="9212" width="29" style="2" customWidth="1"/>
    <col min="9213" max="9461" width="9.140625" style="2"/>
    <col min="9462" max="9462" width="3.28515625" style="2" customWidth="1"/>
    <col min="9463" max="9463" width="29" style="2" customWidth="1"/>
    <col min="9464" max="9464" width="14" style="2" customWidth="1"/>
    <col min="9465" max="9465" width="11.28515625" style="2" customWidth="1"/>
    <col min="9466" max="9466" width="16.7109375" style="2" customWidth="1"/>
    <col min="9467" max="9467" width="8.85546875" style="2" customWidth="1"/>
    <col min="9468" max="9468" width="29" style="2" customWidth="1"/>
    <col min="9469" max="9717" width="9.140625" style="2"/>
    <col min="9718" max="9718" width="3.28515625" style="2" customWidth="1"/>
    <col min="9719" max="9719" width="29" style="2" customWidth="1"/>
    <col min="9720" max="9720" width="14" style="2" customWidth="1"/>
    <col min="9721" max="9721" width="11.28515625" style="2" customWidth="1"/>
    <col min="9722" max="9722" width="16.7109375" style="2" customWidth="1"/>
    <col min="9723" max="9723" width="8.85546875" style="2" customWidth="1"/>
    <col min="9724" max="9724" width="29" style="2" customWidth="1"/>
    <col min="9725" max="9973" width="9.140625" style="2"/>
    <col min="9974" max="9974" width="3.28515625" style="2" customWidth="1"/>
    <col min="9975" max="9975" width="29" style="2" customWidth="1"/>
    <col min="9976" max="9976" width="14" style="2" customWidth="1"/>
    <col min="9977" max="9977" width="11.28515625" style="2" customWidth="1"/>
    <col min="9978" max="9978" width="16.7109375" style="2" customWidth="1"/>
    <col min="9979" max="9979" width="8.85546875" style="2" customWidth="1"/>
    <col min="9980" max="9980" width="29" style="2" customWidth="1"/>
    <col min="9981" max="10229" width="9.140625" style="2"/>
    <col min="10230" max="10230" width="3.28515625" style="2" customWidth="1"/>
    <col min="10231" max="10231" width="29" style="2" customWidth="1"/>
    <col min="10232" max="10232" width="14" style="2" customWidth="1"/>
    <col min="10233" max="10233" width="11.28515625" style="2" customWidth="1"/>
    <col min="10234" max="10234" width="16.7109375" style="2" customWidth="1"/>
    <col min="10235" max="10235" width="8.85546875" style="2" customWidth="1"/>
    <col min="10236" max="10236" width="29" style="2" customWidth="1"/>
    <col min="10237" max="10485" width="9.140625" style="2"/>
    <col min="10486" max="10486" width="3.28515625" style="2" customWidth="1"/>
    <col min="10487" max="10487" width="29" style="2" customWidth="1"/>
    <col min="10488" max="10488" width="14" style="2" customWidth="1"/>
    <col min="10489" max="10489" width="11.28515625" style="2" customWidth="1"/>
    <col min="10490" max="10490" width="16.7109375" style="2" customWidth="1"/>
    <col min="10491" max="10491" width="8.85546875" style="2" customWidth="1"/>
    <col min="10492" max="10492" width="29" style="2" customWidth="1"/>
    <col min="10493" max="10741" width="9.140625" style="2"/>
    <col min="10742" max="10742" width="3.28515625" style="2" customWidth="1"/>
    <col min="10743" max="10743" width="29" style="2" customWidth="1"/>
    <col min="10744" max="10744" width="14" style="2" customWidth="1"/>
    <col min="10745" max="10745" width="11.28515625" style="2" customWidth="1"/>
    <col min="10746" max="10746" width="16.7109375" style="2" customWidth="1"/>
    <col min="10747" max="10747" width="8.85546875" style="2" customWidth="1"/>
    <col min="10748" max="10748" width="29" style="2" customWidth="1"/>
    <col min="10749" max="10997" width="9.140625" style="2"/>
    <col min="10998" max="10998" width="3.28515625" style="2" customWidth="1"/>
    <col min="10999" max="10999" width="29" style="2" customWidth="1"/>
    <col min="11000" max="11000" width="14" style="2" customWidth="1"/>
    <col min="11001" max="11001" width="11.28515625" style="2" customWidth="1"/>
    <col min="11002" max="11002" width="16.7109375" style="2" customWidth="1"/>
    <col min="11003" max="11003" width="8.85546875" style="2" customWidth="1"/>
    <col min="11004" max="11004" width="29" style="2" customWidth="1"/>
    <col min="11005" max="11253" width="9.140625" style="2"/>
    <col min="11254" max="11254" width="3.28515625" style="2" customWidth="1"/>
    <col min="11255" max="11255" width="29" style="2" customWidth="1"/>
    <col min="11256" max="11256" width="14" style="2" customWidth="1"/>
    <col min="11257" max="11257" width="11.28515625" style="2" customWidth="1"/>
    <col min="11258" max="11258" width="16.7109375" style="2" customWidth="1"/>
    <col min="11259" max="11259" width="8.85546875" style="2" customWidth="1"/>
    <col min="11260" max="11260" width="29" style="2" customWidth="1"/>
    <col min="11261" max="11509" width="9.140625" style="2"/>
    <col min="11510" max="11510" width="3.28515625" style="2" customWidth="1"/>
    <col min="11511" max="11511" width="29" style="2" customWidth="1"/>
    <col min="11512" max="11512" width="14" style="2" customWidth="1"/>
    <col min="11513" max="11513" width="11.28515625" style="2" customWidth="1"/>
    <col min="11514" max="11514" width="16.7109375" style="2" customWidth="1"/>
    <col min="11515" max="11515" width="8.85546875" style="2" customWidth="1"/>
    <col min="11516" max="11516" width="29" style="2" customWidth="1"/>
    <col min="11517" max="11765" width="9.140625" style="2"/>
    <col min="11766" max="11766" width="3.28515625" style="2" customWidth="1"/>
    <col min="11767" max="11767" width="29" style="2" customWidth="1"/>
    <col min="11768" max="11768" width="14" style="2" customWidth="1"/>
    <col min="11769" max="11769" width="11.28515625" style="2" customWidth="1"/>
    <col min="11770" max="11770" width="16.7109375" style="2" customWidth="1"/>
    <col min="11771" max="11771" width="8.85546875" style="2" customWidth="1"/>
    <col min="11772" max="11772" width="29" style="2" customWidth="1"/>
    <col min="11773" max="12021" width="9.140625" style="2"/>
    <col min="12022" max="12022" width="3.28515625" style="2" customWidth="1"/>
    <col min="12023" max="12023" width="29" style="2" customWidth="1"/>
    <col min="12024" max="12024" width="14" style="2" customWidth="1"/>
    <col min="12025" max="12025" width="11.28515625" style="2" customWidth="1"/>
    <col min="12026" max="12026" width="16.7109375" style="2" customWidth="1"/>
    <col min="12027" max="12027" width="8.85546875" style="2" customWidth="1"/>
    <col min="12028" max="12028" width="29" style="2" customWidth="1"/>
    <col min="12029" max="12277" width="9.140625" style="2"/>
    <col min="12278" max="12278" width="3.28515625" style="2" customWidth="1"/>
    <col min="12279" max="12279" width="29" style="2" customWidth="1"/>
    <col min="12280" max="12280" width="14" style="2" customWidth="1"/>
    <col min="12281" max="12281" width="11.28515625" style="2" customWidth="1"/>
    <col min="12282" max="12282" width="16.7109375" style="2" customWidth="1"/>
    <col min="12283" max="12283" width="8.85546875" style="2" customWidth="1"/>
    <col min="12284" max="12284" width="29" style="2" customWidth="1"/>
    <col min="12285" max="12533" width="9.140625" style="2"/>
    <col min="12534" max="12534" width="3.28515625" style="2" customWidth="1"/>
    <col min="12535" max="12535" width="29" style="2" customWidth="1"/>
    <col min="12536" max="12536" width="14" style="2" customWidth="1"/>
    <col min="12537" max="12537" width="11.28515625" style="2" customWidth="1"/>
    <col min="12538" max="12538" width="16.7109375" style="2" customWidth="1"/>
    <col min="12539" max="12539" width="8.85546875" style="2" customWidth="1"/>
    <col min="12540" max="12540" width="29" style="2" customWidth="1"/>
    <col min="12541" max="12789" width="9.140625" style="2"/>
    <col min="12790" max="12790" width="3.28515625" style="2" customWidth="1"/>
    <col min="12791" max="12791" width="29" style="2" customWidth="1"/>
    <col min="12792" max="12792" width="14" style="2" customWidth="1"/>
    <col min="12793" max="12793" width="11.28515625" style="2" customWidth="1"/>
    <col min="12794" max="12794" width="16.7109375" style="2" customWidth="1"/>
    <col min="12795" max="12795" width="8.85546875" style="2" customWidth="1"/>
    <col min="12796" max="12796" width="29" style="2" customWidth="1"/>
    <col min="12797" max="13045" width="9.140625" style="2"/>
    <col min="13046" max="13046" width="3.28515625" style="2" customWidth="1"/>
    <col min="13047" max="13047" width="29" style="2" customWidth="1"/>
    <col min="13048" max="13048" width="14" style="2" customWidth="1"/>
    <col min="13049" max="13049" width="11.28515625" style="2" customWidth="1"/>
    <col min="13050" max="13050" width="16.7109375" style="2" customWidth="1"/>
    <col min="13051" max="13051" width="8.85546875" style="2" customWidth="1"/>
    <col min="13052" max="13052" width="29" style="2" customWidth="1"/>
    <col min="13053" max="13301" width="9.140625" style="2"/>
    <col min="13302" max="13302" width="3.28515625" style="2" customWidth="1"/>
    <col min="13303" max="13303" width="29" style="2" customWidth="1"/>
    <col min="13304" max="13304" width="14" style="2" customWidth="1"/>
    <col min="13305" max="13305" width="11.28515625" style="2" customWidth="1"/>
    <col min="13306" max="13306" width="16.7109375" style="2" customWidth="1"/>
    <col min="13307" max="13307" width="8.85546875" style="2" customWidth="1"/>
    <col min="13308" max="13308" width="29" style="2" customWidth="1"/>
    <col min="13309" max="13557" width="9.140625" style="2"/>
    <col min="13558" max="13558" width="3.28515625" style="2" customWidth="1"/>
    <col min="13559" max="13559" width="29" style="2" customWidth="1"/>
    <col min="13560" max="13560" width="14" style="2" customWidth="1"/>
    <col min="13561" max="13561" width="11.28515625" style="2" customWidth="1"/>
    <col min="13562" max="13562" width="16.7109375" style="2" customWidth="1"/>
    <col min="13563" max="13563" width="8.85546875" style="2" customWidth="1"/>
    <col min="13564" max="13564" width="29" style="2" customWidth="1"/>
    <col min="13565" max="13813" width="9.140625" style="2"/>
    <col min="13814" max="13814" width="3.28515625" style="2" customWidth="1"/>
    <col min="13815" max="13815" width="29" style="2" customWidth="1"/>
    <col min="13816" max="13816" width="14" style="2" customWidth="1"/>
    <col min="13817" max="13817" width="11.28515625" style="2" customWidth="1"/>
    <col min="13818" max="13818" width="16.7109375" style="2" customWidth="1"/>
    <col min="13819" max="13819" width="8.85546875" style="2" customWidth="1"/>
    <col min="13820" max="13820" width="29" style="2" customWidth="1"/>
    <col min="13821" max="14069" width="9.140625" style="2"/>
    <col min="14070" max="14070" width="3.28515625" style="2" customWidth="1"/>
    <col min="14071" max="14071" width="29" style="2" customWidth="1"/>
    <col min="14072" max="14072" width="14" style="2" customWidth="1"/>
    <col min="14073" max="14073" width="11.28515625" style="2" customWidth="1"/>
    <col min="14074" max="14074" width="16.7109375" style="2" customWidth="1"/>
    <col min="14075" max="14075" width="8.85546875" style="2" customWidth="1"/>
    <col min="14076" max="14076" width="29" style="2" customWidth="1"/>
    <col min="14077" max="14325" width="9.140625" style="2"/>
    <col min="14326" max="14326" width="3.28515625" style="2" customWidth="1"/>
    <col min="14327" max="14327" width="29" style="2" customWidth="1"/>
    <col min="14328" max="14328" width="14" style="2" customWidth="1"/>
    <col min="14329" max="14329" width="11.28515625" style="2" customWidth="1"/>
    <col min="14330" max="14330" width="16.7109375" style="2" customWidth="1"/>
    <col min="14331" max="14331" width="8.85546875" style="2" customWidth="1"/>
    <col min="14332" max="14332" width="29" style="2" customWidth="1"/>
    <col min="14333" max="14581" width="9.140625" style="2"/>
    <col min="14582" max="14582" width="3.28515625" style="2" customWidth="1"/>
    <col min="14583" max="14583" width="29" style="2" customWidth="1"/>
    <col min="14584" max="14584" width="14" style="2" customWidth="1"/>
    <col min="14585" max="14585" width="11.28515625" style="2" customWidth="1"/>
    <col min="14586" max="14586" width="16.7109375" style="2" customWidth="1"/>
    <col min="14587" max="14587" width="8.85546875" style="2" customWidth="1"/>
    <col min="14588" max="14588" width="29" style="2" customWidth="1"/>
    <col min="14589" max="14837" width="9.140625" style="2"/>
    <col min="14838" max="14838" width="3.28515625" style="2" customWidth="1"/>
    <col min="14839" max="14839" width="29" style="2" customWidth="1"/>
    <col min="14840" max="14840" width="14" style="2" customWidth="1"/>
    <col min="14841" max="14841" width="11.28515625" style="2" customWidth="1"/>
    <col min="14842" max="14842" width="16.7109375" style="2" customWidth="1"/>
    <col min="14843" max="14843" width="8.85546875" style="2" customWidth="1"/>
    <col min="14844" max="14844" width="29" style="2" customWidth="1"/>
    <col min="14845" max="15093" width="9.140625" style="2"/>
    <col min="15094" max="15094" width="3.28515625" style="2" customWidth="1"/>
    <col min="15095" max="15095" width="29" style="2" customWidth="1"/>
    <col min="15096" max="15096" width="14" style="2" customWidth="1"/>
    <col min="15097" max="15097" width="11.28515625" style="2" customWidth="1"/>
    <col min="15098" max="15098" width="16.7109375" style="2" customWidth="1"/>
    <col min="15099" max="15099" width="8.85546875" style="2" customWidth="1"/>
    <col min="15100" max="15100" width="29" style="2" customWidth="1"/>
    <col min="15101" max="15349" width="9.140625" style="2"/>
    <col min="15350" max="15350" width="3.28515625" style="2" customWidth="1"/>
    <col min="15351" max="15351" width="29" style="2" customWidth="1"/>
    <col min="15352" max="15352" width="14" style="2" customWidth="1"/>
    <col min="15353" max="15353" width="11.28515625" style="2" customWidth="1"/>
    <col min="15354" max="15354" width="16.7109375" style="2" customWidth="1"/>
    <col min="15355" max="15355" width="8.85546875" style="2" customWidth="1"/>
    <col min="15356" max="15356" width="29" style="2" customWidth="1"/>
    <col min="15357" max="15605" width="9.140625" style="2"/>
    <col min="15606" max="15606" width="3.28515625" style="2" customWidth="1"/>
    <col min="15607" max="15607" width="29" style="2" customWidth="1"/>
    <col min="15608" max="15608" width="14" style="2" customWidth="1"/>
    <col min="15609" max="15609" width="11.28515625" style="2" customWidth="1"/>
    <col min="15610" max="15610" width="16.7109375" style="2" customWidth="1"/>
    <col min="15611" max="15611" width="8.85546875" style="2" customWidth="1"/>
    <col min="15612" max="15612" width="29" style="2" customWidth="1"/>
    <col min="15613" max="15861" width="9.140625" style="2"/>
    <col min="15862" max="15862" width="3.28515625" style="2" customWidth="1"/>
    <col min="15863" max="15863" width="29" style="2" customWidth="1"/>
    <col min="15864" max="15864" width="14" style="2" customWidth="1"/>
    <col min="15865" max="15865" width="11.28515625" style="2" customWidth="1"/>
    <col min="15866" max="15866" width="16.7109375" style="2" customWidth="1"/>
    <col min="15867" max="15867" width="8.85546875" style="2" customWidth="1"/>
    <col min="15868" max="15868" width="29" style="2" customWidth="1"/>
    <col min="15869" max="16117" width="9.140625" style="2"/>
    <col min="16118" max="16118" width="3.28515625" style="2" customWidth="1"/>
    <col min="16119" max="16119" width="29" style="2" customWidth="1"/>
    <col min="16120" max="16120" width="14" style="2" customWidth="1"/>
    <col min="16121" max="16121" width="11.28515625" style="2" customWidth="1"/>
    <col min="16122" max="16122" width="16.7109375" style="2" customWidth="1"/>
    <col min="16123" max="16123" width="8.85546875" style="2" customWidth="1"/>
    <col min="16124" max="16124" width="29" style="2" customWidth="1"/>
    <col min="16125" max="16384" width="9.140625" style="2"/>
  </cols>
  <sheetData>
    <row r="1" spans="1:254" ht="15.75" x14ac:dyDescent="0.2">
      <c r="B1" s="79"/>
      <c r="C1" s="79"/>
      <c r="D1" s="79"/>
      <c r="E1" s="79"/>
      <c r="F1" s="79"/>
      <c r="G1" s="79"/>
      <c r="H1" s="79"/>
      <c r="I1" s="79"/>
      <c r="J1" s="79"/>
    </row>
    <row r="2" spans="1:254" ht="38.25" customHeight="1" x14ac:dyDescent="0.2">
      <c r="A2" s="222" t="s">
        <v>345</v>
      </c>
      <c r="B2" s="222"/>
      <c r="C2" s="222"/>
      <c r="D2" s="222"/>
      <c r="E2" s="222"/>
      <c r="F2" s="222"/>
      <c r="G2" s="222"/>
      <c r="H2" s="222"/>
      <c r="I2" s="222"/>
      <c r="J2" s="222"/>
    </row>
    <row r="3" spans="1:254" s="63" customFormat="1" ht="45" x14ac:dyDescent="0.2">
      <c r="A3" s="72" t="s">
        <v>119</v>
      </c>
      <c r="B3" s="73" t="s">
        <v>223</v>
      </c>
      <c r="C3" s="74" t="s">
        <v>224</v>
      </c>
      <c r="D3" s="74" t="s">
        <v>225</v>
      </c>
      <c r="E3" s="74" t="s">
        <v>216</v>
      </c>
      <c r="F3" s="74" t="s">
        <v>123</v>
      </c>
      <c r="G3" s="74" t="s">
        <v>92</v>
      </c>
      <c r="H3" s="74" t="s">
        <v>93</v>
      </c>
      <c r="I3" s="74" t="s">
        <v>387</v>
      </c>
      <c r="J3" s="76" t="s">
        <v>100</v>
      </c>
    </row>
    <row r="4" spans="1:254" s="63" customFormat="1" ht="25.5" x14ac:dyDescent="0.2">
      <c r="A4" s="223">
        <v>1</v>
      </c>
      <c r="B4" s="225" t="s">
        <v>226</v>
      </c>
      <c r="C4" s="77" t="s">
        <v>230</v>
      </c>
      <c r="D4" s="77" t="s">
        <v>231</v>
      </c>
      <c r="E4" s="77">
        <v>6</v>
      </c>
      <c r="F4" s="78">
        <f>E4*2</f>
        <v>12</v>
      </c>
      <c r="G4" s="85">
        <f ca="1">Diurno!D136</f>
        <v>19843.053664385778</v>
      </c>
      <c r="H4" s="85">
        <f ca="1">G4*E4</f>
        <v>119058.32198631467</v>
      </c>
      <c r="I4" s="85">
        <f t="shared" ref="I4:I10" ca="1" si="0">H4*12</f>
        <v>1428699.863835776</v>
      </c>
      <c r="J4" s="92"/>
      <c r="K4" s="63">
        <f>E4+E6+E7+E8</f>
        <v>12</v>
      </c>
    </row>
    <row r="5" spans="1:254" s="63" customFormat="1" ht="25.5" x14ac:dyDescent="0.2">
      <c r="A5" s="224"/>
      <c r="B5" s="226"/>
      <c r="C5" s="77" t="s">
        <v>230</v>
      </c>
      <c r="D5" s="77" t="s">
        <v>419</v>
      </c>
      <c r="E5" s="77">
        <v>2</v>
      </c>
      <c r="F5" s="78">
        <v>4</v>
      </c>
      <c r="G5" s="85">
        <f ca="1">Noturno!D136</f>
        <v>21961.42353736595</v>
      </c>
      <c r="H5" s="85">
        <f ca="1">G5*E5</f>
        <v>43922.847074731901</v>
      </c>
      <c r="I5" s="85">
        <f t="shared" ca="1" si="0"/>
        <v>527074.16489678284</v>
      </c>
      <c r="J5" s="92"/>
      <c r="K5" s="63">
        <f>E5</f>
        <v>2</v>
      </c>
    </row>
    <row r="6" spans="1:254" s="63" customFormat="1" ht="25.5" x14ac:dyDescent="0.2">
      <c r="A6" s="153">
        <v>2</v>
      </c>
      <c r="B6" s="77" t="s">
        <v>227</v>
      </c>
      <c r="C6" s="77" t="s">
        <v>230</v>
      </c>
      <c r="D6" s="77" t="s">
        <v>231</v>
      </c>
      <c r="E6" s="77">
        <v>2</v>
      </c>
      <c r="F6" s="78">
        <v>4</v>
      </c>
      <c r="G6" s="85">
        <f ca="1">Diurno!D136</f>
        <v>19843.053664385778</v>
      </c>
      <c r="H6" s="85">
        <f ca="1">G6*E6</f>
        <v>39686.107328771555</v>
      </c>
      <c r="I6" s="85">
        <f t="shared" ca="1" si="0"/>
        <v>476233.28794525866</v>
      </c>
      <c r="J6" s="92"/>
    </row>
    <row r="7" spans="1:254" s="63" customFormat="1" ht="25.5" x14ac:dyDescent="0.2">
      <c r="A7" s="153">
        <v>3</v>
      </c>
      <c r="B7" s="77" t="s">
        <v>228</v>
      </c>
      <c r="C7" s="77" t="s">
        <v>230</v>
      </c>
      <c r="D7" s="77" t="s">
        <v>231</v>
      </c>
      <c r="E7" s="77">
        <v>2</v>
      </c>
      <c r="F7" s="78">
        <f>E7*2</f>
        <v>4</v>
      </c>
      <c r="G7" s="85">
        <f ca="1">Diurno!D136</f>
        <v>19843.053664385778</v>
      </c>
      <c r="H7" s="85">
        <f ca="1">G7*E7</f>
        <v>39686.107328771555</v>
      </c>
      <c r="I7" s="85">
        <f t="shared" ca="1" si="0"/>
        <v>476233.28794525866</v>
      </c>
      <c r="J7" s="92"/>
    </row>
    <row r="8" spans="1:254" s="63" customFormat="1" ht="25.5" x14ac:dyDescent="0.2">
      <c r="A8" s="153">
        <v>4</v>
      </c>
      <c r="B8" s="77" t="s">
        <v>229</v>
      </c>
      <c r="C8" s="77" t="s">
        <v>230</v>
      </c>
      <c r="D8" s="77" t="s">
        <v>231</v>
      </c>
      <c r="E8" s="77">
        <v>2</v>
      </c>
      <c r="F8" s="78">
        <f>E8*2</f>
        <v>4</v>
      </c>
      <c r="G8" s="85">
        <f ca="1">Diurno!D136</f>
        <v>19843.053664385778</v>
      </c>
      <c r="H8" s="85">
        <f ca="1">G8*E8</f>
        <v>39686.107328771555</v>
      </c>
      <c r="I8" s="85">
        <f t="shared" ca="1" si="0"/>
        <v>476233.28794525866</v>
      </c>
      <c r="J8" s="92"/>
    </row>
    <row r="9" spans="1:254" s="63" customFormat="1" ht="18" x14ac:dyDescent="0.2">
      <c r="A9" s="153">
        <v>5</v>
      </c>
      <c r="B9" s="77"/>
      <c r="C9" s="77" t="s">
        <v>438</v>
      </c>
      <c r="D9" s="77" t="s">
        <v>231</v>
      </c>
      <c r="E9" s="77"/>
      <c r="F9" s="78">
        <v>24</v>
      </c>
      <c r="G9" s="85">
        <f>Diurno!D147</f>
        <v>863.78</v>
      </c>
      <c r="H9" s="85">
        <f>G9*F9</f>
        <v>20730.72</v>
      </c>
      <c r="I9" s="85">
        <f t="shared" si="0"/>
        <v>248768.64000000001</v>
      </c>
      <c r="J9" s="92"/>
    </row>
    <row r="10" spans="1:254" s="63" customFormat="1" ht="18" x14ac:dyDescent="0.2">
      <c r="A10" s="153">
        <v>5</v>
      </c>
      <c r="B10" s="77"/>
      <c r="C10" s="77" t="s">
        <v>439</v>
      </c>
      <c r="D10" s="77" t="s">
        <v>419</v>
      </c>
      <c r="E10" s="77"/>
      <c r="F10" s="78">
        <v>4</v>
      </c>
      <c r="G10" s="85">
        <v>877.32</v>
      </c>
      <c r="H10" s="85">
        <f>G10*F10+0.01</f>
        <v>3509.2900000000004</v>
      </c>
      <c r="I10" s="85">
        <f>H10*12</f>
        <v>42111.48</v>
      </c>
      <c r="J10" s="92"/>
    </row>
    <row r="11" spans="1:254" s="63" customFormat="1" ht="15.75" customHeight="1" x14ac:dyDescent="0.2">
      <c r="A11" s="227" t="s">
        <v>121</v>
      </c>
      <c r="B11" s="228"/>
      <c r="C11" s="228"/>
      <c r="D11" s="229"/>
      <c r="E11" s="84">
        <f>SUM(E4:E9)</f>
        <v>14</v>
      </c>
      <c r="F11" s="84">
        <f>SUM(F4:F10)</f>
        <v>56</v>
      </c>
      <c r="G11" s="93"/>
      <c r="H11" s="86">
        <f ca="1">SUM(H4:H10)+0.01</f>
        <v>306279.51104736124</v>
      </c>
      <c r="I11" s="86">
        <f ca="1">SUM(I4:I10)</f>
        <v>3675354.0125683341</v>
      </c>
      <c r="J11" s="87" t="e">
        <f>SUM(#REF!)</f>
        <v>#REF!</v>
      </c>
    </row>
    <row r="12" spans="1:254" s="63" customFormat="1" ht="15" customHeight="1" x14ac:dyDescent="0.2">
      <c r="A12" s="230"/>
      <c r="B12" s="231"/>
      <c r="C12" s="231"/>
      <c r="D12" s="231"/>
      <c r="E12" s="231"/>
      <c r="F12" s="231"/>
      <c r="G12" s="231"/>
      <c r="H12" s="231"/>
      <c r="I12" s="231"/>
      <c r="J12" s="232"/>
      <c r="K12" s="64"/>
      <c r="L12" s="64"/>
      <c r="M12" s="64"/>
      <c r="N12" s="64"/>
      <c r="O12" s="64"/>
      <c r="P12" s="64"/>
      <c r="Q12" s="64"/>
      <c r="R12" s="64"/>
      <c r="S12" s="64"/>
      <c r="T12" s="64"/>
      <c r="U12" s="64"/>
      <c r="V12" s="64"/>
      <c r="W12" s="64"/>
      <c r="X12" s="64"/>
      <c r="Y12" s="64"/>
      <c r="Z12" s="64"/>
      <c r="AA12" s="64"/>
      <c r="AB12" s="64"/>
      <c r="AC12" s="64"/>
      <c r="AD12" s="64"/>
      <c r="AE12" s="64"/>
      <c r="AF12" s="64"/>
      <c r="AG12" s="64"/>
      <c r="AH12" s="64"/>
      <c r="AI12" s="64"/>
      <c r="AJ12" s="64"/>
      <c r="AK12" s="64"/>
      <c r="AL12" s="64"/>
      <c r="AM12" s="64"/>
      <c r="AN12" s="64"/>
      <c r="AO12" s="64"/>
      <c r="AP12" s="64"/>
      <c r="AQ12" s="64"/>
      <c r="AR12" s="64"/>
      <c r="AS12" s="64"/>
      <c r="AT12" s="64"/>
      <c r="AU12" s="64"/>
      <c r="AV12" s="64"/>
      <c r="AW12" s="64"/>
      <c r="AX12" s="64"/>
      <c r="AY12" s="64"/>
      <c r="AZ12" s="64"/>
      <c r="BA12" s="64"/>
      <c r="BB12" s="64"/>
      <c r="BC12" s="64"/>
      <c r="BD12" s="64"/>
      <c r="BE12" s="64"/>
      <c r="BF12" s="64"/>
      <c r="BG12" s="64"/>
      <c r="BH12" s="64"/>
      <c r="BI12" s="64"/>
      <c r="BJ12" s="64"/>
      <c r="BK12" s="64"/>
      <c r="BL12" s="64"/>
      <c r="BM12" s="64"/>
      <c r="BN12" s="64"/>
      <c r="BO12" s="64"/>
      <c r="BP12" s="64"/>
      <c r="BQ12" s="64"/>
      <c r="BR12" s="64"/>
      <c r="BS12" s="64"/>
      <c r="BT12" s="64"/>
      <c r="BU12" s="64"/>
      <c r="BV12" s="64"/>
      <c r="BW12" s="64"/>
      <c r="BX12" s="64"/>
      <c r="BY12" s="64"/>
      <c r="BZ12" s="64"/>
      <c r="CA12" s="64"/>
      <c r="CB12" s="64"/>
      <c r="CC12" s="64"/>
      <c r="CD12" s="64"/>
      <c r="CE12" s="64"/>
      <c r="CF12" s="64"/>
      <c r="CG12" s="64"/>
      <c r="CH12" s="64"/>
      <c r="CI12" s="64"/>
      <c r="CJ12" s="64"/>
      <c r="CK12" s="64"/>
      <c r="CL12" s="64"/>
      <c r="CM12" s="64"/>
      <c r="CN12" s="64"/>
      <c r="CO12" s="64"/>
      <c r="CP12" s="64"/>
      <c r="CQ12" s="64"/>
      <c r="CR12" s="64"/>
      <c r="CS12" s="64"/>
      <c r="CT12" s="64"/>
      <c r="CU12" s="64"/>
      <c r="CV12" s="64"/>
      <c r="CW12" s="64"/>
      <c r="CX12" s="64"/>
      <c r="CY12" s="64"/>
      <c r="CZ12" s="64"/>
      <c r="DA12" s="64"/>
      <c r="DB12" s="64"/>
      <c r="DC12" s="64"/>
      <c r="DD12" s="64"/>
      <c r="DE12" s="64"/>
      <c r="DF12" s="64"/>
      <c r="DG12" s="64"/>
      <c r="DH12" s="64"/>
      <c r="DI12" s="64"/>
      <c r="DJ12" s="64"/>
      <c r="DK12" s="64"/>
      <c r="DL12" s="64"/>
      <c r="DM12" s="64"/>
      <c r="DN12" s="64"/>
      <c r="DO12" s="64"/>
      <c r="DP12" s="64"/>
      <c r="DQ12" s="64"/>
      <c r="DR12" s="64"/>
      <c r="DS12" s="64"/>
      <c r="DT12" s="64"/>
      <c r="DU12" s="64"/>
      <c r="DV12" s="64"/>
      <c r="DW12" s="64"/>
      <c r="DX12" s="64"/>
      <c r="DY12" s="64"/>
      <c r="DZ12" s="64"/>
      <c r="EA12" s="64"/>
      <c r="EB12" s="64"/>
      <c r="EC12" s="64"/>
      <c r="ED12" s="64"/>
      <c r="EE12" s="64"/>
      <c r="EF12" s="64"/>
      <c r="EG12" s="64"/>
      <c r="EH12" s="64"/>
      <c r="EI12" s="64"/>
      <c r="EJ12" s="64"/>
      <c r="EK12" s="64"/>
      <c r="EL12" s="64"/>
      <c r="EM12" s="64"/>
      <c r="EN12" s="64"/>
      <c r="EO12" s="64"/>
      <c r="EP12" s="64"/>
      <c r="EQ12" s="64"/>
      <c r="ER12" s="64"/>
      <c r="ES12" s="64"/>
      <c r="ET12" s="64"/>
      <c r="EU12" s="64"/>
      <c r="EV12" s="64"/>
      <c r="EW12" s="64"/>
      <c r="EX12" s="64"/>
      <c r="EY12" s="64"/>
      <c r="EZ12" s="64"/>
      <c r="FA12" s="64"/>
      <c r="FB12" s="64"/>
      <c r="FC12" s="64"/>
      <c r="FD12" s="64"/>
      <c r="FE12" s="64"/>
      <c r="FF12" s="64"/>
      <c r="FG12" s="64"/>
      <c r="FH12" s="64"/>
      <c r="FI12" s="64"/>
      <c r="FJ12" s="64"/>
      <c r="FK12" s="64"/>
      <c r="FL12" s="64"/>
      <c r="FM12" s="64"/>
      <c r="FN12" s="64"/>
      <c r="FO12" s="64"/>
      <c r="FP12" s="64"/>
      <c r="FQ12" s="64"/>
      <c r="FR12" s="64"/>
      <c r="FS12" s="64"/>
      <c r="FT12" s="64"/>
      <c r="FU12" s="64"/>
      <c r="FV12" s="64"/>
      <c r="FW12" s="64"/>
      <c r="FX12" s="64"/>
      <c r="FY12" s="64"/>
      <c r="FZ12" s="64"/>
      <c r="GA12" s="64"/>
      <c r="GB12" s="64"/>
      <c r="GC12" s="64"/>
      <c r="GD12" s="64"/>
      <c r="GE12" s="64"/>
      <c r="GF12" s="64"/>
      <c r="GG12" s="64"/>
      <c r="GH12" s="64"/>
      <c r="GI12" s="64"/>
      <c r="GJ12" s="64"/>
      <c r="GK12" s="64"/>
      <c r="GL12" s="64"/>
      <c r="GM12" s="64"/>
      <c r="GN12" s="64"/>
      <c r="GO12" s="64"/>
      <c r="GP12" s="64"/>
      <c r="GQ12" s="64"/>
      <c r="GR12" s="64"/>
      <c r="GS12" s="64"/>
      <c r="GT12" s="64"/>
      <c r="GU12" s="64"/>
      <c r="GV12" s="64"/>
      <c r="GW12" s="64"/>
      <c r="GX12" s="64"/>
      <c r="GY12" s="64"/>
      <c r="GZ12" s="64"/>
      <c r="HA12" s="64"/>
      <c r="HB12" s="64"/>
      <c r="HC12" s="64"/>
      <c r="HD12" s="64"/>
      <c r="HE12" s="64"/>
      <c r="HF12" s="64"/>
      <c r="HG12" s="64"/>
      <c r="HH12" s="64"/>
      <c r="HI12" s="64"/>
      <c r="HJ12" s="64"/>
      <c r="HK12" s="64"/>
      <c r="HL12" s="64"/>
      <c r="HM12" s="64"/>
      <c r="HN12" s="64"/>
      <c r="HO12" s="64"/>
      <c r="HP12" s="64"/>
      <c r="HQ12" s="64"/>
      <c r="HR12" s="64"/>
      <c r="HS12" s="64"/>
      <c r="HT12" s="64"/>
      <c r="HU12" s="64"/>
      <c r="HV12" s="64"/>
      <c r="HW12" s="64"/>
      <c r="HX12" s="64"/>
      <c r="HY12" s="64"/>
      <c r="HZ12" s="64"/>
      <c r="IA12" s="64"/>
      <c r="IB12" s="64"/>
      <c r="IC12" s="64"/>
      <c r="ID12" s="64"/>
      <c r="IE12" s="64"/>
      <c r="IF12" s="64"/>
      <c r="IG12" s="64"/>
      <c r="IH12" s="64"/>
      <c r="II12" s="64"/>
      <c r="IJ12" s="64"/>
      <c r="IK12" s="64"/>
      <c r="IL12" s="64"/>
      <c r="IM12" s="64"/>
      <c r="IN12" s="64"/>
      <c r="IO12" s="64"/>
      <c r="IP12" s="64"/>
      <c r="IQ12" s="64"/>
      <c r="IR12" s="64"/>
      <c r="IS12" s="64"/>
      <c r="IT12" s="64"/>
    </row>
    <row r="13" spans="1:254" s="63" customFormat="1" ht="18" customHeight="1" x14ac:dyDescent="0.2">
      <c r="A13" s="233" t="s">
        <v>66</v>
      </c>
      <c r="B13" s="233"/>
      <c r="C13" s="233"/>
      <c r="D13" s="233"/>
      <c r="E13" s="233"/>
      <c r="F13" s="233"/>
      <c r="G13" s="233"/>
      <c r="H13" s="233"/>
      <c r="I13" s="90">
        <f ca="1">H11</f>
        <v>306279.51104736124</v>
      </c>
      <c r="J13" s="65" t="e">
        <f>#REF!</f>
        <v>#REF!</v>
      </c>
      <c r="K13" s="64"/>
      <c r="L13" s="64"/>
      <c r="M13" s="64"/>
      <c r="N13" s="64"/>
      <c r="O13" s="64"/>
      <c r="P13" s="64"/>
      <c r="Q13" s="64"/>
      <c r="R13" s="64"/>
      <c r="S13" s="64"/>
      <c r="T13" s="64"/>
      <c r="U13" s="64"/>
      <c r="V13" s="64"/>
      <c r="W13" s="64"/>
      <c r="X13" s="64"/>
      <c r="Y13" s="64"/>
      <c r="Z13" s="64"/>
      <c r="AA13" s="64"/>
      <c r="AB13" s="64"/>
      <c r="AC13" s="64"/>
      <c r="AD13" s="64"/>
      <c r="AE13" s="64"/>
      <c r="AF13" s="64"/>
      <c r="AG13" s="64"/>
      <c r="AH13" s="64"/>
      <c r="AI13" s="64"/>
      <c r="AJ13" s="64"/>
      <c r="AK13" s="64"/>
      <c r="AL13" s="64"/>
      <c r="AM13" s="64"/>
      <c r="AN13" s="64"/>
      <c r="AO13" s="64"/>
      <c r="AP13" s="64"/>
      <c r="AQ13" s="64"/>
      <c r="AR13" s="64"/>
      <c r="AS13" s="64"/>
      <c r="AT13" s="64"/>
      <c r="AU13" s="64"/>
      <c r="AV13" s="64"/>
      <c r="AW13" s="64"/>
      <c r="AX13" s="64"/>
      <c r="AY13" s="64"/>
      <c r="AZ13" s="64"/>
      <c r="BA13" s="64"/>
      <c r="BB13" s="64"/>
      <c r="BC13" s="64"/>
      <c r="BD13" s="64"/>
      <c r="BE13" s="64"/>
      <c r="BF13" s="64"/>
      <c r="BG13" s="64"/>
      <c r="BH13" s="64"/>
      <c r="BI13" s="64"/>
      <c r="BJ13" s="64"/>
      <c r="BK13" s="64"/>
      <c r="BL13" s="64"/>
      <c r="BM13" s="64"/>
      <c r="BN13" s="64"/>
      <c r="BO13" s="64"/>
      <c r="BP13" s="64"/>
      <c r="BQ13" s="64"/>
      <c r="BR13" s="64"/>
      <c r="BS13" s="64"/>
      <c r="BT13" s="64"/>
      <c r="BU13" s="64"/>
      <c r="BV13" s="64"/>
      <c r="BW13" s="64"/>
      <c r="BX13" s="64"/>
      <c r="BY13" s="64"/>
      <c r="BZ13" s="64"/>
      <c r="CA13" s="64"/>
      <c r="CB13" s="64"/>
      <c r="CC13" s="64"/>
      <c r="CD13" s="64"/>
      <c r="CE13" s="64"/>
      <c r="CF13" s="64"/>
      <c r="CG13" s="64"/>
      <c r="CH13" s="64"/>
      <c r="CI13" s="64"/>
      <c r="CJ13" s="64"/>
      <c r="CK13" s="64"/>
      <c r="CL13" s="64"/>
      <c r="CM13" s="64"/>
      <c r="CN13" s="64"/>
      <c r="CO13" s="64"/>
      <c r="CP13" s="64"/>
      <c r="CQ13" s="64"/>
      <c r="CR13" s="64"/>
      <c r="CS13" s="64"/>
      <c r="CT13" s="64"/>
      <c r="CU13" s="64"/>
      <c r="CV13" s="64"/>
      <c r="CW13" s="64"/>
      <c r="CX13" s="64"/>
      <c r="CY13" s="64"/>
      <c r="CZ13" s="64"/>
      <c r="DA13" s="64"/>
      <c r="DB13" s="64"/>
      <c r="DC13" s="64"/>
      <c r="DD13" s="64"/>
      <c r="DE13" s="64"/>
      <c r="DF13" s="64"/>
      <c r="DG13" s="64"/>
      <c r="DH13" s="64"/>
      <c r="DI13" s="64"/>
      <c r="DJ13" s="64"/>
      <c r="DK13" s="64"/>
      <c r="DL13" s="64"/>
      <c r="DM13" s="64"/>
      <c r="DN13" s="64"/>
      <c r="DO13" s="64"/>
      <c r="DP13" s="64"/>
      <c r="DQ13" s="64"/>
      <c r="DR13" s="64"/>
      <c r="DS13" s="64"/>
      <c r="DT13" s="64"/>
      <c r="DU13" s="64"/>
      <c r="DV13" s="64"/>
      <c r="DW13" s="64"/>
      <c r="DX13" s="64"/>
      <c r="DY13" s="64"/>
      <c r="DZ13" s="64"/>
      <c r="EA13" s="64"/>
      <c r="EB13" s="64"/>
      <c r="EC13" s="64"/>
      <c r="ED13" s="64"/>
      <c r="EE13" s="64"/>
      <c r="EF13" s="64"/>
      <c r="EG13" s="64"/>
      <c r="EH13" s="64"/>
      <c r="EI13" s="64"/>
      <c r="EJ13" s="64"/>
      <c r="EK13" s="64"/>
      <c r="EL13" s="64"/>
      <c r="EM13" s="64"/>
      <c r="EN13" s="64"/>
      <c r="EO13" s="64"/>
      <c r="EP13" s="64"/>
      <c r="EQ13" s="64"/>
      <c r="ER13" s="64"/>
      <c r="ES13" s="64"/>
      <c r="ET13" s="64"/>
      <c r="EU13" s="64"/>
      <c r="EV13" s="64"/>
      <c r="EW13" s="64"/>
      <c r="EX13" s="64"/>
      <c r="EY13" s="64"/>
      <c r="EZ13" s="64"/>
      <c r="FA13" s="64"/>
      <c r="FB13" s="64"/>
      <c r="FC13" s="64"/>
      <c r="FD13" s="64"/>
      <c r="FE13" s="64"/>
      <c r="FF13" s="64"/>
      <c r="FG13" s="64"/>
      <c r="FH13" s="64"/>
      <c r="FI13" s="64"/>
      <c r="FJ13" s="64"/>
      <c r="FK13" s="64"/>
      <c r="FL13" s="64"/>
      <c r="FM13" s="64"/>
      <c r="FN13" s="64"/>
      <c r="FO13" s="64"/>
      <c r="FP13" s="64"/>
      <c r="FQ13" s="64"/>
      <c r="FR13" s="64"/>
      <c r="FS13" s="64"/>
      <c r="FT13" s="64"/>
      <c r="FU13" s="64"/>
      <c r="FV13" s="64"/>
      <c r="FW13" s="64"/>
      <c r="FX13" s="64"/>
      <c r="FY13" s="64"/>
      <c r="FZ13" s="64"/>
      <c r="GA13" s="64"/>
      <c r="GB13" s="64"/>
      <c r="GC13" s="64"/>
      <c r="GD13" s="64"/>
      <c r="GE13" s="64"/>
      <c r="GF13" s="64"/>
      <c r="GG13" s="64"/>
      <c r="GH13" s="64"/>
      <c r="GI13" s="64"/>
      <c r="GJ13" s="64"/>
      <c r="GK13" s="64"/>
      <c r="GL13" s="64"/>
      <c r="GM13" s="64"/>
      <c r="GN13" s="64"/>
      <c r="GO13" s="64"/>
      <c r="GP13" s="64"/>
      <c r="GQ13" s="64"/>
      <c r="GR13" s="64"/>
      <c r="GS13" s="64"/>
      <c r="GT13" s="64"/>
      <c r="GU13" s="64"/>
      <c r="GV13" s="64"/>
      <c r="GW13" s="64"/>
      <c r="GX13" s="64"/>
      <c r="GY13" s="64"/>
      <c r="GZ13" s="64"/>
      <c r="HA13" s="64"/>
      <c r="HB13" s="64"/>
      <c r="HC13" s="64"/>
      <c r="HD13" s="64"/>
      <c r="HE13" s="64"/>
      <c r="HF13" s="64"/>
      <c r="HG13" s="64"/>
      <c r="HH13" s="64"/>
      <c r="HI13" s="64"/>
      <c r="HJ13" s="64"/>
      <c r="HK13" s="64"/>
      <c r="HL13" s="64"/>
      <c r="HM13" s="64"/>
      <c r="HN13" s="64"/>
      <c r="HO13" s="64"/>
      <c r="HP13" s="64"/>
      <c r="HQ13" s="64"/>
      <c r="HR13" s="64"/>
      <c r="HS13" s="64"/>
      <c r="HT13" s="64"/>
      <c r="HU13" s="64"/>
      <c r="HV13" s="64"/>
      <c r="HW13" s="64"/>
      <c r="HX13" s="64"/>
      <c r="HY13" s="64"/>
      <c r="HZ13" s="64"/>
      <c r="IA13" s="64"/>
      <c r="IB13" s="64"/>
      <c r="IC13" s="64"/>
      <c r="ID13" s="64"/>
      <c r="IE13" s="64"/>
      <c r="IF13" s="64"/>
      <c r="IG13" s="64"/>
      <c r="IH13" s="64"/>
      <c r="II13" s="64"/>
      <c r="IJ13" s="64"/>
      <c r="IK13" s="64"/>
      <c r="IL13" s="64"/>
      <c r="IM13" s="64"/>
      <c r="IN13" s="64"/>
      <c r="IO13" s="64"/>
      <c r="IP13" s="64"/>
      <c r="IQ13" s="64"/>
      <c r="IR13" s="64"/>
      <c r="IS13" s="64"/>
      <c r="IT13" s="64"/>
    </row>
    <row r="14" spans="1:254" s="63" customFormat="1" ht="15" customHeight="1" x14ac:dyDescent="0.2">
      <c r="A14" s="258"/>
      <c r="B14" s="259"/>
      <c r="C14" s="259"/>
      <c r="D14" s="259"/>
      <c r="E14" s="259"/>
      <c r="F14" s="259"/>
      <c r="G14" s="259"/>
      <c r="H14" s="259"/>
      <c r="I14" s="259"/>
      <c r="J14" s="260"/>
    </row>
    <row r="15" spans="1:254" s="63" customFormat="1" ht="4.5" customHeight="1" x14ac:dyDescent="0.2">
      <c r="A15" s="234"/>
      <c r="B15" s="235"/>
      <c r="C15" s="235"/>
      <c r="D15" s="235"/>
      <c r="E15" s="235"/>
      <c r="F15" s="235"/>
      <c r="G15" s="235"/>
      <c r="H15" s="235"/>
      <c r="I15" s="235"/>
      <c r="J15" s="236"/>
      <c r="K15" s="64"/>
      <c r="L15" s="64"/>
      <c r="M15" s="64"/>
      <c r="N15" s="64"/>
      <c r="O15" s="64"/>
      <c r="P15" s="64"/>
      <c r="Q15" s="64"/>
      <c r="R15" s="64"/>
      <c r="S15" s="64"/>
      <c r="T15" s="64"/>
      <c r="U15" s="64"/>
      <c r="V15" s="64"/>
      <c r="W15" s="64"/>
      <c r="X15" s="64"/>
      <c r="Y15" s="64"/>
      <c r="Z15" s="64"/>
      <c r="AA15" s="64"/>
      <c r="AB15" s="64"/>
      <c r="AC15" s="64"/>
      <c r="AD15" s="64"/>
      <c r="AE15" s="64"/>
      <c r="AF15" s="64"/>
      <c r="AG15" s="64"/>
      <c r="AH15" s="64"/>
      <c r="AI15" s="64"/>
      <c r="AJ15" s="64"/>
      <c r="AK15" s="64"/>
      <c r="AL15" s="64"/>
      <c r="AM15" s="64"/>
      <c r="AN15" s="64"/>
      <c r="AO15" s="64"/>
      <c r="AP15" s="64"/>
      <c r="AQ15" s="64"/>
      <c r="AR15" s="64"/>
      <c r="AS15" s="64"/>
      <c r="AT15" s="64"/>
      <c r="AU15" s="64"/>
      <c r="AV15" s="64"/>
      <c r="AW15" s="64"/>
      <c r="AX15" s="64"/>
      <c r="AY15" s="64"/>
      <c r="AZ15" s="64"/>
      <c r="BA15" s="64"/>
      <c r="BB15" s="64"/>
      <c r="BC15" s="64"/>
      <c r="BD15" s="64"/>
      <c r="BE15" s="64"/>
      <c r="BF15" s="64"/>
      <c r="BG15" s="64"/>
      <c r="BH15" s="64"/>
      <c r="BI15" s="64"/>
      <c r="BJ15" s="64"/>
      <c r="BK15" s="64"/>
      <c r="BL15" s="64"/>
      <c r="BM15" s="64"/>
      <c r="BN15" s="64"/>
      <c r="BO15" s="64"/>
      <c r="BP15" s="64"/>
      <c r="BQ15" s="64"/>
      <c r="BR15" s="64"/>
      <c r="BS15" s="64"/>
      <c r="BT15" s="64"/>
      <c r="BU15" s="64"/>
      <c r="BV15" s="64"/>
      <c r="BW15" s="64"/>
      <c r="BX15" s="64"/>
      <c r="BY15" s="64"/>
      <c r="BZ15" s="64"/>
      <c r="CA15" s="64"/>
      <c r="CB15" s="64"/>
      <c r="CC15" s="64"/>
      <c r="CD15" s="64"/>
      <c r="CE15" s="64"/>
      <c r="CF15" s="64"/>
      <c r="CG15" s="64"/>
      <c r="CH15" s="64"/>
      <c r="CI15" s="64"/>
      <c r="CJ15" s="64"/>
      <c r="CK15" s="64"/>
      <c r="CL15" s="64"/>
      <c r="CM15" s="64"/>
      <c r="CN15" s="64"/>
      <c r="CO15" s="64"/>
      <c r="CP15" s="64"/>
      <c r="CQ15" s="64"/>
      <c r="CR15" s="64"/>
      <c r="CS15" s="64"/>
      <c r="CT15" s="64"/>
      <c r="CU15" s="64"/>
      <c r="CV15" s="64"/>
      <c r="CW15" s="64"/>
      <c r="CX15" s="64"/>
      <c r="CY15" s="64"/>
      <c r="CZ15" s="64"/>
      <c r="DA15" s="64"/>
      <c r="DB15" s="64"/>
      <c r="DC15" s="64"/>
      <c r="DD15" s="64"/>
      <c r="DE15" s="64"/>
      <c r="DF15" s="64"/>
      <c r="DG15" s="64"/>
      <c r="DH15" s="64"/>
      <c r="DI15" s="64"/>
      <c r="DJ15" s="64"/>
      <c r="DK15" s="64"/>
      <c r="DL15" s="64"/>
      <c r="DM15" s="64"/>
      <c r="DN15" s="64"/>
      <c r="DO15" s="64"/>
      <c r="DP15" s="64"/>
      <c r="DQ15" s="64"/>
      <c r="DR15" s="64"/>
      <c r="DS15" s="64"/>
      <c r="DT15" s="64"/>
      <c r="DU15" s="64"/>
      <c r="DV15" s="64"/>
      <c r="DW15" s="64"/>
      <c r="DX15" s="64"/>
      <c r="DY15" s="64"/>
      <c r="DZ15" s="64"/>
      <c r="EA15" s="64"/>
      <c r="EB15" s="64"/>
      <c r="EC15" s="64"/>
      <c r="ED15" s="64"/>
      <c r="EE15" s="64"/>
      <c r="EF15" s="64"/>
      <c r="EG15" s="64"/>
      <c r="EH15" s="64"/>
      <c r="EI15" s="64"/>
      <c r="EJ15" s="64"/>
      <c r="EK15" s="64"/>
      <c r="EL15" s="64"/>
      <c r="EM15" s="64"/>
      <c r="EN15" s="64"/>
      <c r="EO15" s="64"/>
      <c r="EP15" s="64"/>
      <c r="EQ15" s="64"/>
      <c r="ER15" s="64"/>
      <c r="ES15" s="64"/>
      <c r="ET15" s="64"/>
      <c r="EU15" s="64"/>
      <c r="EV15" s="64"/>
      <c r="EW15" s="64"/>
      <c r="EX15" s="64"/>
      <c r="EY15" s="64"/>
      <c r="EZ15" s="64"/>
      <c r="FA15" s="64"/>
      <c r="FB15" s="64"/>
      <c r="FC15" s="64"/>
      <c r="FD15" s="64"/>
      <c r="FE15" s="64"/>
      <c r="FF15" s="64"/>
      <c r="FG15" s="64"/>
      <c r="FH15" s="64"/>
      <c r="FI15" s="64"/>
      <c r="FJ15" s="64"/>
      <c r="FK15" s="64"/>
      <c r="FL15" s="64"/>
      <c r="FM15" s="64"/>
      <c r="FN15" s="64"/>
      <c r="FO15" s="64"/>
      <c r="FP15" s="64"/>
      <c r="FQ15" s="64"/>
      <c r="FR15" s="64"/>
      <c r="FS15" s="64"/>
      <c r="FT15" s="64"/>
      <c r="FU15" s="64"/>
      <c r="FV15" s="64"/>
      <c r="FW15" s="64"/>
      <c r="FX15" s="64"/>
      <c r="FY15" s="64"/>
      <c r="FZ15" s="64"/>
      <c r="GA15" s="64"/>
      <c r="GB15" s="64"/>
      <c r="GC15" s="64"/>
      <c r="GD15" s="64"/>
      <c r="GE15" s="64"/>
      <c r="GF15" s="64"/>
      <c r="GG15" s="64"/>
      <c r="GH15" s="64"/>
      <c r="GI15" s="64"/>
      <c r="GJ15" s="64"/>
      <c r="GK15" s="64"/>
      <c r="GL15" s="64"/>
      <c r="GM15" s="64"/>
      <c r="GN15" s="64"/>
      <c r="GO15" s="64"/>
      <c r="GP15" s="64"/>
      <c r="GQ15" s="64"/>
      <c r="GR15" s="64"/>
      <c r="GS15" s="64"/>
      <c r="GT15" s="64"/>
      <c r="GU15" s="64"/>
      <c r="GV15" s="64"/>
      <c r="GW15" s="64"/>
      <c r="GX15" s="64"/>
      <c r="GY15" s="64"/>
      <c r="GZ15" s="64"/>
      <c r="HA15" s="64"/>
      <c r="HB15" s="64"/>
      <c r="HC15" s="64"/>
      <c r="HD15" s="64"/>
      <c r="HE15" s="64"/>
      <c r="HF15" s="64"/>
      <c r="HG15" s="64"/>
      <c r="HH15" s="64"/>
      <c r="HI15" s="64"/>
      <c r="HJ15" s="64"/>
      <c r="HK15" s="64"/>
      <c r="HL15" s="64"/>
      <c r="HM15" s="64"/>
      <c r="HN15" s="64"/>
      <c r="HO15" s="64"/>
      <c r="HP15" s="64"/>
      <c r="HQ15" s="64"/>
      <c r="HR15" s="64"/>
      <c r="HS15" s="64"/>
      <c r="HT15" s="64"/>
      <c r="HU15" s="64"/>
      <c r="HV15" s="64"/>
      <c r="HW15" s="64"/>
      <c r="HX15" s="64"/>
      <c r="HY15" s="64"/>
      <c r="HZ15" s="64"/>
      <c r="IA15" s="64"/>
      <c r="IB15" s="64"/>
      <c r="IC15" s="64"/>
      <c r="ID15" s="64"/>
      <c r="IE15" s="64"/>
      <c r="IF15" s="64"/>
      <c r="IG15" s="64"/>
      <c r="IH15" s="64"/>
      <c r="II15" s="64"/>
      <c r="IJ15" s="64"/>
      <c r="IK15" s="64"/>
      <c r="IL15" s="64"/>
      <c r="IM15" s="64"/>
      <c r="IN15" s="64"/>
      <c r="IO15" s="64"/>
      <c r="IP15" s="64"/>
      <c r="IQ15" s="64"/>
      <c r="IR15" s="64"/>
      <c r="IS15" s="64"/>
      <c r="IT15" s="64"/>
    </row>
    <row r="16" spans="1:254" s="63" customFormat="1" ht="19.5" customHeight="1" x14ac:dyDescent="0.2">
      <c r="A16" s="233" t="s">
        <v>67</v>
      </c>
      <c r="B16" s="233"/>
      <c r="C16" s="233"/>
      <c r="D16" s="233"/>
      <c r="E16" s="233"/>
      <c r="F16" s="233"/>
      <c r="G16" s="233"/>
      <c r="H16" s="233"/>
      <c r="I16" s="88">
        <v>12</v>
      </c>
      <c r="J16" s="66">
        <v>12</v>
      </c>
    </row>
    <row r="17" spans="1:254" s="63" customFormat="1" ht="5.25" customHeight="1" x14ac:dyDescent="0.2">
      <c r="A17" s="234"/>
      <c r="B17" s="235"/>
      <c r="C17" s="235"/>
      <c r="D17" s="235"/>
      <c r="E17" s="235"/>
      <c r="F17" s="235"/>
      <c r="G17" s="235"/>
      <c r="H17" s="235"/>
      <c r="I17" s="235"/>
      <c r="J17" s="236"/>
      <c r="K17" s="64"/>
      <c r="L17" s="64"/>
      <c r="M17" s="64"/>
      <c r="N17" s="64"/>
      <c r="O17" s="64"/>
      <c r="P17" s="64"/>
      <c r="Q17" s="64"/>
      <c r="R17" s="64"/>
      <c r="S17" s="64"/>
      <c r="T17" s="64"/>
      <c r="U17" s="64"/>
      <c r="V17" s="64"/>
      <c r="W17" s="64"/>
      <c r="X17" s="64"/>
      <c r="Y17" s="64"/>
      <c r="Z17" s="64"/>
      <c r="AA17" s="64"/>
      <c r="AB17" s="64"/>
      <c r="AC17" s="64"/>
      <c r="AD17" s="64"/>
      <c r="AE17" s="64"/>
      <c r="AF17" s="64"/>
      <c r="AG17" s="64"/>
      <c r="AH17" s="64"/>
      <c r="AI17" s="64"/>
      <c r="AJ17" s="64"/>
      <c r="AK17" s="64"/>
      <c r="AL17" s="64"/>
      <c r="AM17" s="64"/>
      <c r="AN17" s="64"/>
      <c r="AO17" s="64"/>
      <c r="AP17" s="64"/>
      <c r="AQ17" s="64"/>
      <c r="AR17" s="64"/>
      <c r="AS17" s="64"/>
      <c r="AT17" s="64"/>
      <c r="AU17" s="64"/>
      <c r="AV17" s="64"/>
      <c r="AW17" s="64"/>
      <c r="AX17" s="64"/>
      <c r="AY17" s="64"/>
      <c r="AZ17" s="64"/>
      <c r="BA17" s="64"/>
      <c r="BB17" s="64"/>
      <c r="BC17" s="64"/>
      <c r="BD17" s="64"/>
      <c r="BE17" s="64"/>
      <c r="BF17" s="64"/>
      <c r="BG17" s="64"/>
      <c r="BH17" s="64"/>
      <c r="BI17" s="64"/>
      <c r="BJ17" s="64"/>
      <c r="BK17" s="64"/>
      <c r="BL17" s="64"/>
      <c r="BM17" s="64"/>
      <c r="BN17" s="64"/>
      <c r="BO17" s="64"/>
      <c r="BP17" s="64"/>
      <c r="BQ17" s="64"/>
      <c r="BR17" s="64"/>
      <c r="BS17" s="64"/>
      <c r="BT17" s="64"/>
      <c r="BU17" s="64"/>
      <c r="BV17" s="64"/>
      <c r="BW17" s="64"/>
      <c r="BX17" s="64"/>
      <c r="BY17" s="64"/>
      <c r="BZ17" s="64"/>
      <c r="CA17" s="64"/>
      <c r="CB17" s="64"/>
      <c r="CC17" s="64"/>
      <c r="CD17" s="64"/>
      <c r="CE17" s="64"/>
      <c r="CF17" s="64"/>
      <c r="CG17" s="64"/>
      <c r="CH17" s="64"/>
      <c r="CI17" s="64"/>
      <c r="CJ17" s="64"/>
      <c r="CK17" s="64"/>
      <c r="CL17" s="64"/>
      <c r="CM17" s="64"/>
      <c r="CN17" s="64"/>
      <c r="CO17" s="64"/>
      <c r="CP17" s="64"/>
      <c r="CQ17" s="64"/>
      <c r="CR17" s="64"/>
      <c r="CS17" s="64"/>
      <c r="CT17" s="64"/>
      <c r="CU17" s="64"/>
      <c r="CV17" s="64"/>
      <c r="CW17" s="64"/>
      <c r="CX17" s="64"/>
      <c r="CY17" s="64"/>
      <c r="CZ17" s="64"/>
      <c r="DA17" s="64"/>
      <c r="DB17" s="64"/>
      <c r="DC17" s="64"/>
      <c r="DD17" s="64"/>
      <c r="DE17" s="64"/>
      <c r="DF17" s="64"/>
      <c r="DG17" s="64"/>
      <c r="DH17" s="64"/>
      <c r="DI17" s="64"/>
      <c r="DJ17" s="64"/>
      <c r="DK17" s="64"/>
      <c r="DL17" s="64"/>
      <c r="DM17" s="64"/>
      <c r="DN17" s="64"/>
      <c r="DO17" s="64"/>
      <c r="DP17" s="64"/>
      <c r="DQ17" s="64"/>
      <c r="DR17" s="64"/>
      <c r="DS17" s="64"/>
      <c r="DT17" s="64"/>
      <c r="DU17" s="64"/>
      <c r="DV17" s="64"/>
      <c r="DW17" s="64"/>
      <c r="DX17" s="64"/>
      <c r="DY17" s="64"/>
      <c r="DZ17" s="64"/>
      <c r="EA17" s="64"/>
      <c r="EB17" s="64"/>
      <c r="EC17" s="64"/>
      <c r="ED17" s="64"/>
      <c r="EE17" s="64"/>
      <c r="EF17" s="64"/>
      <c r="EG17" s="64"/>
      <c r="EH17" s="64"/>
      <c r="EI17" s="64"/>
      <c r="EJ17" s="64"/>
      <c r="EK17" s="64"/>
      <c r="EL17" s="64"/>
      <c r="EM17" s="64"/>
      <c r="EN17" s="64"/>
      <c r="EO17" s="64"/>
      <c r="EP17" s="64"/>
      <c r="EQ17" s="64"/>
      <c r="ER17" s="64"/>
      <c r="ES17" s="64"/>
      <c r="ET17" s="64"/>
      <c r="EU17" s="64"/>
      <c r="EV17" s="64"/>
      <c r="EW17" s="64"/>
      <c r="EX17" s="64"/>
      <c r="EY17" s="64"/>
      <c r="EZ17" s="64"/>
      <c r="FA17" s="64"/>
      <c r="FB17" s="64"/>
      <c r="FC17" s="64"/>
      <c r="FD17" s="64"/>
      <c r="FE17" s="64"/>
      <c r="FF17" s="64"/>
      <c r="FG17" s="64"/>
      <c r="FH17" s="64"/>
      <c r="FI17" s="64"/>
      <c r="FJ17" s="64"/>
      <c r="FK17" s="64"/>
      <c r="FL17" s="64"/>
      <c r="FM17" s="64"/>
      <c r="FN17" s="64"/>
      <c r="FO17" s="64"/>
      <c r="FP17" s="64"/>
      <c r="FQ17" s="64"/>
      <c r="FR17" s="64"/>
      <c r="FS17" s="64"/>
      <c r="FT17" s="64"/>
      <c r="FU17" s="64"/>
      <c r="FV17" s="64"/>
      <c r="FW17" s="64"/>
      <c r="FX17" s="64"/>
      <c r="FY17" s="64"/>
      <c r="FZ17" s="64"/>
      <c r="GA17" s="64"/>
      <c r="GB17" s="64"/>
      <c r="GC17" s="64"/>
      <c r="GD17" s="64"/>
      <c r="GE17" s="64"/>
      <c r="GF17" s="64"/>
      <c r="GG17" s="64"/>
      <c r="GH17" s="64"/>
      <c r="GI17" s="64"/>
      <c r="GJ17" s="64"/>
      <c r="GK17" s="64"/>
      <c r="GL17" s="64"/>
      <c r="GM17" s="64"/>
      <c r="GN17" s="64"/>
      <c r="GO17" s="64"/>
      <c r="GP17" s="64"/>
      <c r="GQ17" s="64"/>
      <c r="GR17" s="64"/>
      <c r="GS17" s="64"/>
      <c r="GT17" s="64"/>
      <c r="GU17" s="64"/>
      <c r="GV17" s="64"/>
      <c r="GW17" s="64"/>
      <c r="GX17" s="64"/>
      <c r="GY17" s="64"/>
      <c r="GZ17" s="64"/>
      <c r="HA17" s="64"/>
      <c r="HB17" s="64"/>
      <c r="HC17" s="64"/>
      <c r="HD17" s="64"/>
      <c r="HE17" s="64"/>
      <c r="HF17" s="64"/>
      <c r="HG17" s="64"/>
      <c r="HH17" s="64"/>
      <c r="HI17" s="64"/>
      <c r="HJ17" s="64"/>
      <c r="HK17" s="64"/>
      <c r="HL17" s="64"/>
      <c r="HM17" s="64"/>
      <c r="HN17" s="64"/>
      <c r="HO17" s="64"/>
      <c r="HP17" s="64"/>
      <c r="HQ17" s="64"/>
      <c r="HR17" s="64"/>
      <c r="HS17" s="64"/>
      <c r="HT17" s="64"/>
      <c r="HU17" s="64"/>
      <c r="HV17" s="64"/>
      <c r="HW17" s="64"/>
      <c r="HX17" s="64"/>
      <c r="HY17" s="64"/>
      <c r="HZ17" s="64"/>
      <c r="IA17" s="64"/>
      <c r="IB17" s="64"/>
      <c r="IC17" s="64"/>
      <c r="ID17" s="64"/>
      <c r="IE17" s="64"/>
      <c r="IF17" s="64"/>
      <c r="IG17" s="64"/>
      <c r="IH17" s="64"/>
      <c r="II17" s="64"/>
      <c r="IJ17" s="64"/>
      <c r="IK17" s="64"/>
      <c r="IL17" s="64"/>
      <c r="IM17" s="64"/>
      <c r="IN17" s="64"/>
      <c r="IO17" s="64"/>
      <c r="IP17" s="64"/>
      <c r="IQ17" s="64"/>
      <c r="IR17" s="64"/>
      <c r="IS17" s="64"/>
      <c r="IT17" s="64"/>
    </row>
    <row r="18" spans="1:254" s="63" customFormat="1" ht="15" customHeight="1" x14ac:dyDescent="0.2">
      <c r="A18" s="237" t="s">
        <v>99</v>
      </c>
      <c r="B18" s="237"/>
      <c r="C18" s="237"/>
      <c r="D18" s="237"/>
      <c r="E18" s="237"/>
      <c r="F18" s="237"/>
      <c r="G18" s="237"/>
      <c r="H18" s="237"/>
      <c r="I18" s="91">
        <f ca="1">I13*I16</f>
        <v>3675354.1325683352</v>
      </c>
      <c r="J18" s="89" t="e">
        <f>J16*J13</f>
        <v>#REF!</v>
      </c>
    </row>
    <row r="19" spans="1:254" s="63" customFormat="1" ht="15" customHeight="1" x14ac:dyDescent="0.2">
      <c r="A19" s="234"/>
      <c r="B19" s="235"/>
      <c r="C19" s="235"/>
      <c r="D19" s="235"/>
      <c r="E19" s="235"/>
      <c r="F19" s="235"/>
      <c r="G19" s="235"/>
      <c r="H19" s="235"/>
      <c r="I19" s="235"/>
      <c r="J19" s="236"/>
    </row>
  </sheetData>
  <mergeCells count="12">
    <mergeCell ref="A14:J14"/>
    <mergeCell ref="A15:J15"/>
    <mergeCell ref="A16:H16"/>
    <mergeCell ref="A17:J17"/>
    <mergeCell ref="A18:H18"/>
    <mergeCell ref="A19:J19"/>
    <mergeCell ref="A2:J2"/>
    <mergeCell ref="A4:A5"/>
    <mergeCell ref="B4:B5"/>
    <mergeCell ref="A11:D11"/>
    <mergeCell ref="A12:J12"/>
    <mergeCell ref="A13:H13"/>
  </mergeCells>
  <printOptions horizontalCentered="1" verticalCentered="1"/>
  <pageMargins left="0.51181102362204722" right="0.51181102362204722" top="0.78740157480314965" bottom="0.78740157480314965" header="0.31496062992125984" footer="0.31496062992125984"/>
  <pageSetup paperSize="9" scale="55" orientation="portrait" horizontalDpi="360" verticalDpi="36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T19"/>
  <sheetViews>
    <sheetView view="pageBreakPreview" topLeftCell="A5" zoomScale="120" zoomScaleNormal="100" zoomScaleSheetLayoutView="120" workbookViewId="0">
      <selection activeCell="G10" sqref="G10"/>
    </sheetView>
  </sheetViews>
  <sheetFormatPr defaultRowHeight="15" x14ac:dyDescent="0.2"/>
  <cols>
    <col min="1" max="1" width="6.5703125" style="2" customWidth="1"/>
    <col min="2" max="2" width="20.85546875" style="2" customWidth="1"/>
    <col min="3" max="3" width="23.140625" style="2" customWidth="1"/>
    <col min="4" max="4" width="14.5703125" style="2" customWidth="1"/>
    <col min="5" max="5" width="12.42578125" style="2" customWidth="1"/>
    <col min="6" max="6" width="12.140625" style="2" customWidth="1"/>
    <col min="7" max="7" width="15.28515625" style="2" customWidth="1"/>
    <col min="8" max="9" width="16.42578125" style="2" customWidth="1"/>
    <col min="10" max="10" width="19.140625" style="2" hidden="1" customWidth="1"/>
    <col min="11" max="245" width="9.140625" style="2"/>
    <col min="246" max="246" width="3.28515625" style="2" customWidth="1"/>
    <col min="247" max="247" width="29" style="2" customWidth="1"/>
    <col min="248" max="248" width="14" style="2" customWidth="1"/>
    <col min="249" max="249" width="11.28515625" style="2" customWidth="1"/>
    <col min="250" max="250" width="16.7109375" style="2" customWidth="1"/>
    <col min="251" max="251" width="8.85546875" style="2" customWidth="1"/>
    <col min="252" max="252" width="29" style="2" customWidth="1"/>
    <col min="253" max="501" width="9.140625" style="2"/>
    <col min="502" max="502" width="3.28515625" style="2" customWidth="1"/>
    <col min="503" max="503" width="29" style="2" customWidth="1"/>
    <col min="504" max="504" width="14" style="2" customWidth="1"/>
    <col min="505" max="505" width="11.28515625" style="2" customWidth="1"/>
    <col min="506" max="506" width="16.7109375" style="2" customWidth="1"/>
    <col min="507" max="507" width="8.85546875" style="2" customWidth="1"/>
    <col min="508" max="508" width="29" style="2" customWidth="1"/>
    <col min="509" max="757" width="9.140625" style="2"/>
    <col min="758" max="758" width="3.28515625" style="2" customWidth="1"/>
    <col min="759" max="759" width="29" style="2" customWidth="1"/>
    <col min="760" max="760" width="14" style="2" customWidth="1"/>
    <col min="761" max="761" width="11.28515625" style="2" customWidth="1"/>
    <col min="762" max="762" width="16.7109375" style="2" customWidth="1"/>
    <col min="763" max="763" width="8.85546875" style="2" customWidth="1"/>
    <col min="764" max="764" width="29" style="2" customWidth="1"/>
    <col min="765" max="1013" width="9.140625" style="2"/>
    <col min="1014" max="1014" width="3.28515625" style="2" customWidth="1"/>
    <col min="1015" max="1015" width="29" style="2" customWidth="1"/>
    <col min="1016" max="1016" width="14" style="2" customWidth="1"/>
    <col min="1017" max="1017" width="11.28515625" style="2" customWidth="1"/>
    <col min="1018" max="1018" width="16.7109375" style="2" customWidth="1"/>
    <col min="1019" max="1019" width="8.85546875" style="2" customWidth="1"/>
    <col min="1020" max="1020" width="29" style="2" customWidth="1"/>
    <col min="1021" max="1269" width="9.140625" style="2"/>
    <col min="1270" max="1270" width="3.28515625" style="2" customWidth="1"/>
    <col min="1271" max="1271" width="29" style="2" customWidth="1"/>
    <col min="1272" max="1272" width="14" style="2" customWidth="1"/>
    <col min="1273" max="1273" width="11.28515625" style="2" customWidth="1"/>
    <col min="1274" max="1274" width="16.7109375" style="2" customWidth="1"/>
    <col min="1275" max="1275" width="8.85546875" style="2" customWidth="1"/>
    <col min="1276" max="1276" width="29" style="2" customWidth="1"/>
    <col min="1277" max="1525" width="9.140625" style="2"/>
    <col min="1526" max="1526" width="3.28515625" style="2" customWidth="1"/>
    <col min="1527" max="1527" width="29" style="2" customWidth="1"/>
    <col min="1528" max="1528" width="14" style="2" customWidth="1"/>
    <col min="1529" max="1529" width="11.28515625" style="2" customWidth="1"/>
    <col min="1530" max="1530" width="16.7109375" style="2" customWidth="1"/>
    <col min="1531" max="1531" width="8.85546875" style="2" customWidth="1"/>
    <col min="1532" max="1532" width="29" style="2" customWidth="1"/>
    <col min="1533" max="1781" width="9.140625" style="2"/>
    <col min="1782" max="1782" width="3.28515625" style="2" customWidth="1"/>
    <col min="1783" max="1783" width="29" style="2" customWidth="1"/>
    <col min="1784" max="1784" width="14" style="2" customWidth="1"/>
    <col min="1785" max="1785" width="11.28515625" style="2" customWidth="1"/>
    <col min="1786" max="1786" width="16.7109375" style="2" customWidth="1"/>
    <col min="1787" max="1787" width="8.85546875" style="2" customWidth="1"/>
    <col min="1788" max="1788" width="29" style="2" customWidth="1"/>
    <col min="1789" max="2037" width="9.140625" style="2"/>
    <col min="2038" max="2038" width="3.28515625" style="2" customWidth="1"/>
    <col min="2039" max="2039" width="29" style="2" customWidth="1"/>
    <col min="2040" max="2040" width="14" style="2" customWidth="1"/>
    <col min="2041" max="2041" width="11.28515625" style="2" customWidth="1"/>
    <col min="2042" max="2042" width="16.7109375" style="2" customWidth="1"/>
    <col min="2043" max="2043" width="8.85546875" style="2" customWidth="1"/>
    <col min="2044" max="2044" width="29" style="2" customWidth="1"/>
    <col min="2045" max="2293" width="9.140625" style="2"/>
    <col min="2294" max="2294" width="3.28515625" style="2" customWidth="1"/>
    <col min="2295" max="2295" width="29" style="2" customWidth="1"/>
    <col min="2296" max="2296" width="14" style="2" customWidth="1"/>
    <col min="2297" max="2297" width="11.28515625" style="2" customWidth="1"/>
    <col min="2298" max="2298" width="16.7109375" style="2" customWidth="1"/>
    <col min="2299" max="2299" width="8.85546875" style="2" customWidth="1"/>
    <col min="2300" max="2300" width="29" style="2" customWidth="1"/>
    <col min="2301" max="2549" width="9.140625" style="2"/>
    <col min="2550" max="2550" width="3.28515625" style="2" customWidth="1"/>
    <col min="2551" max="2551" width="29" style="2" customWidth="1"/>
    <col min="2552" max="2552" width="14" style="2" customWidth="1"/>
    <col min="2553" max="2553" width="11.28515625" style="2" customWidth="1"/>
    <col min="2554" max="2554" width="16.7109375" style="2" customWidth="1"/>
    <col min="2555" max="2555" width="8.85546875" style="2" customWidth="1"/>
    <col min="2556" max="2556" width="29" style="2" customWidth="1"/>
    <col min="2557" max="2805" width="9.140625" style="2"/>
    <col min="2806" max="2806" width="3.28515625" style="2" customWidth="1"/>
    <col min="2807" max="2807" width="29" style="2" customWidth="1"/>
    <col min="2808" max="2808" width="14" style="2" customWidth="1"/>
    <col min="2809" max="2809" width="11.28515625" style="2" customWidth="1"/>
    <col min="2810" max="2810" width="16.7109375" style="2" customWidth="1"/>
    <col min="2811" max="2811" width="8.85546875" style="2" customWidth="1"/>
    <col min="2812" max="2812" width="29" style="2" customWidth="1"/>
    <col min="2813" max="3061" width="9.140625" style="2"/>
    <col min="3062" max="3062" width="3.28515625" style="2" customWidth="1"/>
    <col min="3063" max="3063" width="29" style="2" customWidth="1"/>
    <col min="3064" max="3064" width="14" style="2" customWidth="1"/>
    <col min="3065" max="3065" width="11.28515625" style="2" customWidth="1"/>
    <col min="3066" max="3066" width="16.7109375" style="2" customWidth="1"/>
    <col min="3067" max="3067" width="8.85546875" style="2" customWidth="1"/>
    <col min="3068" max="3068" width="29" style="2" customWidth="1"/>
    <col min="3069" max="3317" width="9.140625" style="2"/>
    <col min="3318" max="3318" width="3.28515625" style="2" customWidth="1"/>
    <col min="3319" max="3319" width="29" style="2" customWidth="1"/>
    <col min="3320" max="3320" width="14" style="2" customWidth="1"/>
    <col min="3321" max="3321" width="11.28515625" style="2" customWidth="1"/>
    <col min="3322" max="3322" width="16.7109375" style="2" customWidth="1"/>
    <col min="3323" max="3323" width="8.85546875" style="2" customWidth="1"/>
    <col min="3324" max="3324" width="29" style="2" customWidth="1"/>
    <col min="3325" max="3573" width="9.140625" style="2"/>
    <col min="3574" max="3574" width="3.28515625" style="2" customWidth="1"/>
    <col min="3575" max="3575" width="29" style="2" customWidth="1"/>
    <col min="3576" max="3576" width="14" style="2" customWidth="1"/>
    <col min="3577" max="3577" width="11.28515625" style="2" customWidth="1"/>
    <col min="3578" max="3578" width="16.7109375" style="2" customWidth="1"/>
    <col min="3579" max="3579" width="8.85546875" style="2" customWidth="1"/>
    <col min="3580" max="3580" width="29" style="2" customWidth="1"/>
    <col min="3581" max="3829" width="9.140625" style="2"/>
    <col min="3830" max="3830" width="3.28515625" style="2" customWidth="1"/>
    <col min="3831" max="3831" width="29" style="2" customWidth="1"/>
    <col min="3832" max="3832" width="14" style="2" customWidth="1"/>
    <col min="3833" max="3833" width="11.28515625" style="2" customWidth="1"/>
    <col min="3834" max="3834" width="16.7109375" style="2" customWidth="1"/>
    <col min="3835" max="3835" width="8.85546875" style="2" customWidth="1"/>
    <col min="3836" max="3836" width="29" style="2" customWidth="1"/>
    <col min="3837" max="4085" width="9.140625" style="2"/>
    <col min="4086" max="4086" width="3.28515625" style="2" customWidth="1"/>
    <col min="4087" max="4087" width="29" style="2" customWidth="1"/>
    <col min="4088" max="4088" width="14" style="2" customWidth="1"/>
    <col min="4089" max="4089" width="11.28515625" style="2" customWidth="1"/>
    <col min="4090" max="4090" width="16.7109375" style="2" customWidth="1"/>
    <col min="4091" max="4091" width="8.85546875" style="2" customWidth="1"/>
    <col min="4092" max="4092" width="29" style="2" customWidth="1"/>
    <col min="4093" max="4341" width="9.140625" style="2"/>
    <col min="4342" max="4342" width="3.28515625" style="2" customWidth="1"/>
    <col min="4343" max="4343" width="29" style="2" customWidth="1"/>
    <col min="4344" max="4344" width="14" style="2" customWidth="1"/>
    <col min="4345" max="4345" width="11.28515625" style="2" customWidth="1"/>
    <col min="4346" max="4346" width="16.7109375" style="2" customWidth="1"/>
    <col min="4347" max="4347" width="8.85546875" style="2" customWidth="1"/>
    <col min="4348" max="4348" width="29" style="2" customWidth="1"/>
    <col min="4349" max="4597" width="9.140625" style="2"/>
    <col min="4598" max="4598" width="3.28515625" style="2" customWidth="1"/>
    <col min="4599" max="4599" width="29" style="2" customWidth="1"/>
    <col min="4600" max="4600" width="14" style="2" customWidth="1"/>
    <col min="4601" max="4601" width="11.28515625" style="2" customWidth="1"/>
    <col min="4602" max="4602" width="16.7109375" style="2" customWidth="1"/>
    <col min="4603" max="4603" width="8.85546875" style="2" customWidth="1"/>
    <col min="4604" max="4604" width="29" style="2" customWidth="1"/>
    <col min="4605" max="4853" width="9.140625" style="2"/>
    <col min="4854" max="4854" width="3.28515625" style="2" customWidth="1"/>
    <col min="4855" max="4855" width="29" style="2" customWidth="1"/>
    <col min="4856" max="4856" width="14" style="2" customWidth="1"/>
    <col min="4857" max="4857" width="11.28515625" style="2" customWidth="1"/>
    <col min="4858" max="4858" width="16.7109375" style="2" customWidth="1"/>
    <col min="4859" max="4859" width="8.85546875" style="2" customWidth="1"/>
    <col min="4860" max="4860" width="29" style="2" customWidth="1"/>
    <col min="4861" max="5109" width="9.140625" style="2"/>
    <col min="5110" max="5110" width="3.28515625" style="2" customWidth="1"/>
    <col min="5111" max="5111" width="29" style="2" customWidth="1"/>
    <col min="5112" max="5112" width="14" style="2" customWidth="1"/>
    <col min="5113" max="5113" width="11.28515625" style="2" customWidth="1"/>
    <col min="5114" max="5114" width="16.7109375" style="2" customWidth="1"/>
    <col min="5115" max="5115" width="8.85546875" style="2" customWidth="1"/>
    <col min="5116" max="5116" width="29" style="2" customWidth="1"/>
    <col min="5117" max="5365" width="9.140625" style="2"/>
    <col min="5366" max="5366" width="3.28515625" style="2" customWidth="1"/>
    <col min="5367" max="5367" width="29" style="2" customWidth="1"/>
    <col min="5368" max="5368" width="14" style="2" customWidth="1"/>
    <col min="5369" max="5369" width="11.28515625" style="2" customWidth="1"/>
    <col min="5370" max="5370" width="16.7109375" style="2" customWidth="1"/>
    <col min="5371" max="5371" width="8.85546875" style="2" customWidth="1"/>
    <col min="5372" max="5372" width="29" style="2" customWidth="1"/>
    <col min="5373" max="5621" width="9.140625" style="2"/>
    <col min="5622" max="5622" width="3.28515625" style="2" customWidth="1"/>
    <col min="5623" max="5623" width="29" style="2" customWidth="1"/>
    <col min="5624" max="5624" width="14" style="2" customWidth="1"/>
    <col min="5625" max="5625" width="11.28515625" style="2" customWidth="1"/>
    <col min="5626" max="5626" width="16.7109375" style="2" customWidth="1"/>
    <col min="5627" max="5627" width="8.85546875" style="2" customWidth="1"/>
    <col min="5628" max="5628" width="29" style="2" customWidth="1"/>
    <col min="5629" max="5877" width="9.140625" style="2"/>
    <col min="5878" max="5878" width="3.28515625" style="2" customWidth="1"/>
    <col min="5879" max="5879" width="29" style="2" customWidth="1"/>
    <col min="5880" max="5880" width="14" style="2" customWidth="1"/>
    <col min="5881" max="5881" width="11.28515625" style="2" customWidth="1"/>
    <col min="5882" max="5882" width="16.7109375" style="2" customWidth="1"/>
    <col min="5883" max="5883" width="8.85546875" style="2" customWidth="1"/>
    <col min="5884" max="5884" width="29" style="2" customWidth="1"/>
    <col min="5885" max="6133" width="9.140625" style="2"/>
    <col min="6134" max="6134" width="3.28515625" style="2" customWidth="1"/>
    <col min="6135" max="6135" width="29" style="2" customWidth="1"/>
    <col min="6136" max="6136" width="14" style="2" customWidth="1"/>
    <col min="6137" max="6137" width="11.28515625" style="2" customWidth="1"/>
    <col min="6138" max="6138" width="16.7109375" style="2" customWidth="1"/>
    <col min="6139" max="6139" width="8.85546875" style="2" customWidth="1"/>
    <col min="6140" max="6140" width="29" style="2" customWidth="1"/>
    <col min="6141" max="6389" width="9.140625" style="2"/>
    <col min="6390" max="6390" width="3.28515625" style="2" customWidth="1"/>
    <col min="6391" max="6391" width="29" style="2" customWidth="1"/>
    <col min="6392" max="6392" width="14" style="2" customWidth="1"/>
    <col min="6393" max="6393" width="11.28515625" style="2" customWidth="1"/>
    <col min="6394" max="6394" width="16.7109375" style="2" customWidth="1"/>
    <col min="6395" max="6395" width="8.85546875" style="2" customWidth="1"/>
    <col min="6396" max="6396" width="29" style="2" customWidth="1"/>
    <col min="6397" max="6645" width="9.140625" style="2"/>
    <col min="6646" max="6646" width="3.28515625" style="2" customWidth="1"/>
    <col min="6647" max="6647" width="29" style="2" customWidth="1"/>
    <col min="6648" max="6648" width="14" style="2" customWidth="1"/>
    <col min="6649" max="6649" width="11.28515625" style="2" customWidth="1"/>
    <col min="6650" max="6650" width="16.7109375" style="2" customWidth="1"/>
    <col min="6651" max="6651" width="8.85546875" style="2" customWidth="1"/>
    <col min="6652" max="6652" width="29" style="2" customWidth="1"/>
    <col min="6653" max="6901" width="9.140625" style="2"/>
    <col min="6902" max="6902" width="3.28515625" style="2" customWidth="1"/>
    <col min="6903" max="6903" width="29" style="2" customWidth="1"/>
    <col min="6904" max="6904" width="14" style="2" customWidth="1"/>
    <col min="6905" max="6905" width="11.28515625" style="2" customWidth="1"/>
    <col min="6906" max="6906" width="16.7109375" style="2" customWidth="1"/>
    <col min="6907" max="6907" width="8.85546875" style="2" customWidth="1"/>
    <col min="6908" max="6908" width="29" style="2" customWidth="1"/>
    <col min="6909" max="7157" width="9.140625" style="2"/>
    <col min="7158" max="7158" width="3.28515625" style="2" customWidth="1"/>
    <col min="7159" max="7159" width="29" style="2" customWidth="1"/>
    <col min="7160" max="7160" width="14" style="2" customWidth="1"/>
    <col min="7161" max="7161" width="11.28515625" style="2" customWidth="1"/>
    <col min="7162" max="7162" width="16.7109375" style="2" customWidth="1"/>
    <col min="7163" max="7163" width="8.85546875" style="2" customWidth="1"/>
    <col min="7164" max="7164" width="29" style="2" customWidth="1"/>
    <col min="7165" max="7413" width="9.140625" style="2"/>
    <col min="7414" max="7414" width="3.28515625" style="2" customWidth="1"/>
    <col min="7415" max="7415" width="29" style="2" customWidth="1"/>
    <col min="7416" max="7416" width="14" style="2" customWidth="1"/>
    <col min="7417" max="7417" width="11.28515625" style="2" customWidth="1"/>
    <col min="7418" max="7418" width="16.7109375" style="2" customWidth="1"/>
    <col min="7419" max="7419" width="8.85546875" style="2" customWidth="1"/>
    <col min="7420" max="7420" width="29" style="2" customWidth="1"/>
    <col min="7421" max="7669" width="9.140625" style="2"/>
    <col min="7670" max="7670" width="3.28515625" style="2" customWidth="1"/>
    <col min="7671" max="7671" width="29" style="2" customWidth="1"/>
    <col min="7672" max="7672" width="14" style="2" customWidth="1"/>
    <col min="7673" max="7673" width="11.28515625" style="2" customWidth="1"/>
    <col min="7674" max="7674" width="16.7109375" style="2" customWidth="1"/>
    <col min="7675" max="7675" width="8.85546875" style="2" customWidth="1"/>
    <col min="7676" max="7676" width="29" style="2" customWidth="1"/>
    <col min="7677" max="7925" width="9.140625" style="2"/>
    <col min="7926" max="7926" width="3.28515625" style="2" customWidth="1"/>
    <col min="7927" max="7927" width="29" style="2" customWidth="1"/>
    <col min="7928" max="7928" width="14" style="2" customWidth="1"/>
    <col min="7929" max="7929" width="11.28515625" style="2" customWidth="1"/>
    <col min="7930" max="7930" width="16.7109375" style="2" customWidth="1"/>
    <col min="7931" max="7931" width="8.85546875" style="2" customWidth="1"/>
    <col min="7932" max="7932" width="29" style="2" customWidth="1"/>
    <col min="7933" max="8181" width="9.140625" style="2"/>
    <col min="8182" max="8182" width="3.28515625" style="2" customWidth="1"/>
    <col min="8183" max="8183" width="29" style="2" customWidth="1"/>
    <col min="8184" max="8184" width="14" style="2" customWidth="1"/>
    <col min="8185" max="8185" width="11.28515625" style="2" customWidth="1"/>
    <col min="8186" max="8186" width="16.7109375" style="2" customWidth="1"/>
    <col min="8187" max="8187" width="8.85546875" style="2" customWidth="1"/>
    <col min="8188" max="8188" width="29" style="2" customWidth="1"/>
    <col min="8189" max="8437" width="9.140625" style="2"/>
    <col min="8438" max="8438" width="3.28515625" style="2" customWidth="1"/>
    <col min="8439" max="8439" width="29" style="2" customWidth="1"/>
    <col min="8440" max="8440" width="14" style="2" customWidth="1"/>
    <col min="8441" max="8441" width="11.28515625" style="2" customWidth="1"/>
    <col min="8442" max="8442" width="16.7109375" style="2" customWidth="1"/>
    <col min="8443" max="8443" width="8.85546875" style="2" customWidth="1"/>
    <col min="8444" max="8444" width="29" style="2" customWidth="1"/>
    <col min="8445" max="8693" width="9.140625" style="2"/>
    <col min="8694" max="8694" width="3.28515625" style="2" customWidth="1"/>
    <col min="8695" max="8695" width="29" style="2" customWidth="1"/>
    <col min="8696" max="8696" width="14" style="2" customWidth="1"/>
    <col min="8697" max="8697" width="11.28515625" style="2" customWidth="1"/>
    <col min="8698" max="8698" width="16.7109375" style="2" customWidth="1"/>
    <col min="8699" max="8699" width="8.85546875" style="2" customWidth="1"/>
    <col min="8700" max="8700" width="29" style="2" customWidth="1"/>
    <col min="8701" max="8949" width="9.140625" style="2"/>
    <col min="8950" max="8950" width="3.28515625" style="2" customWidth="1"/>
    <col min="8951" max="8951" width="29" style="2" customWidth="1"/>
    <col min="8952" max="8952" width="14" style="2" customWidth="1"/>
    <col min="8953" max="8953" width="11.28515625" style="2" customWidth="1"/>
    <col min="8954" max="8954" width="16.7109375" style="2" customWidth="1"/>
    <col min="8955" max="8955" width="8.85546875" style="2" customWidth="1"/>
    <col min="8956" max="8956" width="29" style="2" customWidth="1"/>
    <col min="8957" max="9205" width="9.140625" style="2"/>
    <col min="9206" max="9206" width="3.28515625" style="2" customWidth="1"/>
    <col min="9207" max="9207" width="29" style="2" customWidth="1"/>
    <col min="9208" max="9208" width="14" style="2" customWidth="1"/>
    <col min="9209" max="9209" width="11.28515625" style="2" customWidth="1"/>
    <col min="9210" max="9210" width="16.7109375" style="2" customWidth="1"/>
    <col min="9211" max="9211" width="8.85546875" style="2" customWidth="1"/>
    <col min="9212" max="9212" width="29" style="2" customWidth="1"/>
    <col min="9213" max="9461" width="9.140625" style="2"/>
    <col min="9462" max="9462" width="3.28515625" style="2" customWidth="1"/>
    <col min="9463" max="9463" width="29" style="2" customWidth="1"/>
    <col min="9464" max="9464" width="14" style="2" customWidth="1"/>
    <col min="9465" max="9465" width="11.28515625" style="2" customWidth="1"/>
    <col min="9466" max="9466" width="16.7109375" style="2" customWidth="1"/>
    <col min="9467" max="9467" width="8.85546875" style="2" customWidth="1"/>
    <col min="9468" max="9468" width="29" style="2" customWidth="1"/>
    <col min="9469" max="9717" width="9.140625" style="2"/>
    <col min="9718" max="9718" width="3.28515625" style="2" customWidth="1"/>
    <col min="9719" max="9719" width="29" style="2" customWidth="1"/>
    <col min="9720" max="9720" width="14" style="2" customWidth="1"/>
    <col min="9721" max="9721" width="11.28515625" style="2" customWidth="1"/>
    <col min="9722" max="9722" width="16.7109375" style="2" customWidth="1"/>
    <col min="9723" max="9723" width="8.85546875" style="2" customWidth="1"/>
    <col min="9724" max="9724" width="29" style="2" customWidth="1"/>
    <col min="9725" max="9973" width="9.140625" style="2"/>
    <col min="9974" max="9974" width="3.28515625" style="2" customWidth="1"/>
    <col min="9975" max="9975" width="29" style="2" customWidth="1"/>
    <col min="9976" max="9976" width="14" style="2" customWidth="1"/>
    <col min="9977" max="9977" width="11.28515625" style="2" customWidth="1"/>
    <col min="9978" max="9978" width="16.7109375" style="2" customWidth="1"/>
    <col min="9979" max="9979" width="8.85546875" style="2" customWidth="1"/>
    <col min="9980" max="9980" width="29" style="2" customWidth="1"/>
    <col min="9981" max="10229" width="9.140625" style="2"/>
    <col min="10230" max="10230" width="3.28515625" style="2" customWidth="1"/>
    <col min="10231" max="10231" width="29" style="2" customWidth="1"/>
    <col min="10232" max="10232" width="14" style="2" customWidth="1"/>
    <col min="10233" max="10233" width="11.28515625" style="2" customWidth="1"/>
    <col min="10234" max="10234" width="16.7109375" style="2" customWidth="1"/>
    <col min="10235" max="10235" width="8.85546875" style="2" customWidth="1"/>
    <col min="10236" max="10236" width="29" style="2" customWidth="1"/>
    <col min="10237" max="10485" width="9.140625" style="2"/>
    <col min="10486" max="10486" width="3.28515625" style="2" customWidth="1"/>
    <col min="10487" max="10487" width="29" style="2" customWidth="1"/>
    <col min="10488" max="10488" width="14" style="2" customWidth="1"/>
    <col min="10489" max="10489" width="11.28515625" style="2" customWidth="1"/>
    <col min="10490" max="10490" width="16.7109375" style="2" customWidth="1"/>
    <col min="10491" max="10491" width="8.85546875" style="2" customWidth="1"/>
    <col min="10492" max="10492" width="29" style="2" customWidth="1"/>
    <col min="10493" max="10741" width="9.140625" style="2"/>
    <col min="10742" max="10742" width="3.28515625" style="2" customWidth="1"/>
    <col min="10743" max="10743" width="29" style="2" customWidth="1"/>
    <col min="10744" max="10744" width="14" style="2" customWidth="1"/>
    <col min="10745" max="10745" width="11.28515625" style="2" customWidth="1"/>
    <col min="10746" max="10746" width="16.7109375" style="2" customWidth="1"/>
    <col min="10747" max="10747" width="8.85546875" style="2" customWidth="1"/>
    <col min="10748" max="10748" width="29" style="2" customWidth="1"/>
    <col min="10749" max="10997" width="9.140625" style="2"/>
    <col min="10998" max="10998" width="3.28515625" style="2" customWidth="1"/>
    <col min="10999" max="10999" width="29" style="2" customWidth="1"/>
    <col min="11000" max="11000" width="14" style="2" customWidth="1"/>
    <col min="11001" max="11001" width="11.28515625" style="2" customWidth="1"/>
    <col min="11002" max="11002" width="16.7109375" style="2" customWidth="1"/>
    <col min="11003" max="11003" width="8.85546875" style="2" customWidth="1"/>
    <col min="11004" max="11004" width="29" style="2" customWidth="1"/>
    <col min="11005" max="11253" width="9.140625" style="2"/>
    <col min="11254" max="11254" width="3.28515625" style="2" customWidth="1"/>
    <col min="11255" max="11255" width="29" style="2" customWidth="1"/>
    <col min="11256" max="11256" width="14" style="2" customWidth="1"/>
    <col min="11257" max="11257" width="11.28515625" style="2" customWidth="1"/>
    <col min="11258" max="11258" width="16.7109375" style="2" customWidth="1"/>
    <col min="11259" max="11259" width="8.85546875" style="2" customWidth="1"/>
    <col min="11260" max="11260" width="29" style="2" customWidth="1"/>
    <col min="11261" max="11509" width="9.140625" style="2"/>
    <col min="11510" max="11510" width="3.28515625" style="2" customWidth="1"/>
    <col min="11511" max="11511" width="29" style="2" customWidth="1"/>
    <col min="11512" max="11512" width="14" style="2" customWidth="1"/>
    <col min="11513" max="11513" width="11.28515625" style="2" customWidth="1"/>
    <col min="11514" max="11514" width="16.7109375" style="2" customWidth="1"/>
    <col min="11515" max="11515" width="8.85546875" style="2" customWidth="1"/>
    <col min="11516" max="11516" width="29" style="2" customWidth="1"/>
    <col min="11517" max="11765" width="9.140625" style="2"/>
    <col min="11766" max="11766" width="3.28515625" style="2" customWidth="1"/>
    <col min="11767" max="11767" width="29" style="2" customWidth="1"/>
    <col min="11768" max="11768" width="14" style="2" customWidth="1"/>
    <col min="11769" max="11769" width="11.28515625" style="2" customWidth="1"/>
    <col min="11770" max="11770" width="16.7109375" style="2" customWidth="1"/>
    <col min="11771" max="11771" width="8.85546875" style="2" customWidth="1"/>
    <col min="11772" max="11772" width="29" style="2" customWidth="1"/>
    <col min="11773" max="12021" width="9.140625" style="2"/>
    <col min="12022" max="12022" width="3.28515625" style="2" customWidth="1"/>
    <col min="12023" max="12023" width="29" style="2" customWidth="1"/>
    <col min="12024" max="12024" width="14" style="2" customWidth="1"/>
    <col min="12025" max="12025" width="11.28515625" style="2" customWidth="1"/>
    <col min="12026" max="12026" width="16.7109375" style="2" customWidth="1"/>
    <col min="12027" max="12027" width="8.85546875" style="2" customWidth="1"/>
    <col min="12028" max="12028" width="29" style="2" customWidth="1"/>
    <col min="12029" max="12277" width="9.140625" style="2"/>
    <col min="12278" max="12278" width="3.28515625" style="2" customWidth="1"/>
    <col min="12279" max="12279" width="29" style="2" customWidth="1"/>
    <col min="12280" max="12280" width="14" style="2" customWidth="1"/>
    <col min="12281" max="12281" width="11.28515625" style="2" customWidth="1"/>
    <col min="12282" max="12282" width="16.7109375" style="2" customWidth="1"/>
    <col min="12283" max="12283" width="8.85546875" style="2" customWidth="1"/>
    <col min="12284" max="12284" width="29" style="2" customWidth="1"/>
    <col min="12285" max="12533" width="9.140625" style="2"/>
    <col min="12534" max="12534" width="3.28515625" style="2" customWidth="1"/>
    <col min="12535" max="12535" width="29" style="2" customWidth="1"/>
    <col min="12536" max="12536" width="14" style="2" customWidth="1"/>
    <col min="12537" max="12537" width="11.28515625" style="2" customWidth="1"/>
    <col min="12538" max="12538" width="16.7109375" style="2" customWidth="1"/>
    <col min="12539" max="12539" width="8.85546875" style="2" customWidth="1"/>
    <col min="12540" max="12540" width="29" style="2" customWidth="1"/>
    <col min="12541" max="12789" width="9.140625" style="2"/>
    <col min="12790" max="12790" width="3.28515625" style="2" customWidth="1"/>
    <col min="12791" max="12791" width="29" style="2" customWidth="1"/>
    <col min="12792" max="12792" width="14" style="2" customWidth="1"/>
    <col min="12793" max="12793" width="11.28515625" style="2" customWidth="1"/>
    <col min="12794" max="12794" width="16.7109375" style="2" customWidth="1"/>
    <col min="12795" max="12795" width="8.85546875" style="2" customWidth="1"/>
    <col min="12796" max="12796" width="29" style="2" customWidth="1"/>
    <col min="12797" max="13045" width="9.140625" style="2"/>
    <col min="13046" max="13046" width="3.28515625" style="2" customWidth="1"/>
    <col min="13047" max="13047" width="29" style="2" customWidth="1"/>
    <col min="13048" max="13048" width="14" style="2" customWidth="1"/>
    <col min="13049" max="13049" width="11.28515625" style="2" customWidth="1"/>
    <col min="13050" max="13050" width="16.7109375" style="2" customWidth="1"/>
    <col min="13051" max="13051" width="8.85546875" style="2" customWidth="1"/>
    <col min="13052" max="13052" width="29" style="2" customWidth="1"/>
    <col min="13053" max="13301" width="9.140625" style="2"/>
    <col min="13302" max="13302" width="3.28515625" style="2" customWidth="1"/>
    <col min="13303" max="13303" width="29" style="2" customWidth="1"/>
    <col min="13304" max="13304" width="14" style="2" customWidth="1"/>
    <col min="13305" max="13305" width="11.28515625" style="2" customWidth="1"/>
    <col min="13306" max="13306" width="16.7109375" style="2" customWidth="1"/>
    <col min="13307" max="13307" width="8.85546875" style="2" customWidth="1"/>
    <col min="13308" max="13308" width="29" style="2" customWidth="1"/>
    <col min="13309" max="13557" width="9.140625" style="2"/>
    <col min="13558" max="13558" width="3.28515625" style="2" customWidth="1"/>
    <col min="13559" max="13559" width="29" style="2" customWidth="1"/>
    <col min="13560" max="13560" width="14" style="2" customWidth="1"/>
    <col min="13561" max="13561" width="11.28515625" style="2" customWidth="1"/>
    <col min="13562" max="13562" width="16.7109375" style="2" customWidth="1"/>
    <col min="13563" max="13563" width="8.85546875" style="2" customWidth="1"/>
    <col min="13564" max="13564" width="29" style="2" customWidth="1"/>
    <col min="13565" max="13813" width="9.140625" style="2"/>
    <col min="13814" max="13814" width="3.28515625" style="2" customWidth="1"/>
    <col min="13815" max="13815" width="29" style="2" customWidth="1"/>
    <col min="13816" max="13816" width="14" style="2" customWidth="1"/>
    <col min="13817" max="13817" width="11.28515625" style="2" customWidth="1"/>
    <col min="13818" max="13818" width="16.7109375" style="2" customWidth="1"/>
    <col min="13819" max="13819" width="8.85546875" style="2" customWidth="1"/>
    <col min="13820" max="13820" width="29" style="2" customWidth="1"/>
    <col min="13821" max="14069" width="9.140625" style="2"/>
    <col min="14070" max="14070" width="3.28515625" style="2" customWidth="1"/>
    <col min="14071" max="14071" width="29" style="2" customWidth="1"/>
    <col min="14072" max="14072" width="14" style="2" customWidth="1"/>
    <col min="14073" max="14073" width="11.28515625" style="2" customWidth="1"/>
    <col min="14074" max="14074" width="16.7109375" style="2" customWidth="1"/>
    <col min="14075" max="14075" width="8.85546875" style="2" customWidth="1"/>
    <col min="14076" max="14076" width="29" style="2" customWidth="1"/>
    <col min="14077" max="14325" width="9.140625" style="2"/>
    <col min="14326" max="14326" width="3.28515625" style="2" customWidth="1"/>
    <col min="14327" max="14327" width="29" style="2" customWidth="1"/>
    <col min="14328" max="14328" width="14" style="2" customWidth="1"/>
    <col min="14329" max="14329" width="11.28515625" style="2" customWidth="1"/>
    <col min="14330" max="14330" width="16.7109375" style="2" customWidth="1"/>
    <col min="14331" max="14331" width="8.85546875" style="2" customWidth="1"/>
    <col min="14332" max="14332" width="29" style="2" customWidth="1"/>
    <col min="14333" max="14581" width="9.140625" style="2"/>
    <col min="14582" max="14582" width="3.28515625" style="2" customWidth="1"/>
    <col min="14583" max="14583" width="29" style="2" customWidth="1"/>
    <col min="14584" max="14584" width="14" style="2" customWidth="1"/>
    <col min="14585" max="14585" width="11.28515625" style="2" customWidth="1"/>
    <col min="14586" max="14586" width="16.7109375" style="2" customWidth="1"/>
    <col min="14587" max="14587" width="8.85546875" style="2" customWidth="1"/>
    <col min="14588" max="14588" width="29" style="2" customWidth="1"/>
    <col min="14589" max="14837" width="9.140625" style="2"/>
    <col min="14838" max="14838" width="3.28515625" style="2" customWidth="1"/>
    <col min="14839" max="14839" width="29" style="2" customWidth="1"/>
    <col min="14840" max="14840" width="14" style="2" customWidth="1"/>
    <col min="14841" max="14841" width="11.28515625" style="2" customWidth="1"/>
    <col min="14842" max="14842" width="16.7109375" style="2" customWidth="1"/>
    <col min="14843" max="14843" width="8.85546875" style="2" customWidth="1"/>
    <col min="14844" max="14844" width="29" style="2" customWidth="1"/>
    <col min="14845" max="15093" width="9.140625" style="2"/>
    <col min="15094" max="15094" width="3.28515625" style="2" customWidth="1"/>
    <col min="15095" max="15095" width="29" style="2" customWidth="1"/>
    <col min="15096" max="15096" width="14" style="2" customWidth="1"/>
    <col min="15097" max="15097" width="11.28515625" style="2" customWidth="1"/>
    <col min="15098" max="15098" width="16.7109375" style="2" customWidth="1"/>
    <col min="15099" max="15099" width="8.85546875" style="2" customWidth="1"/>
    <col min="15100" max="15100" width="29" style="2" customWidth="1"/>
    <col min="15101" max="15349" width="9.140625" style="2"/>
    <col min="15350" max="15350" width="3.28515625" style="2" customWidth="1"/>
    <col min="15351" max="15351" width="29" style="2" customWidth="1"/>
    <col min="15352" max="15352" width="14" style="2" customWidth="1"/>
    <col min="15353" max="15353" width="11.28515625" style="2" customWidth="1"/>
    <col min="15354" max="15354" width="16.7109375" style="2" customWidth="1"/>
    <col min="15355" max="15355" width="8.85546875" style="2" customWidth="1"/>
    <col min="15356" max="15356" width="29" style="2" customWidth="1"/>
    <col min="15357" max="15605" width="9.140625" style="2"/>
    <col min="15606" max="15606" width="3.28515625" style="2" customWidth="1"/>
    <col min="15607" max="15607" width="29" style="2" customWidth="1"/>
    <col min="15608" max="15608" width="14" style="2" customWidth="1"/>
    <col min="15609" max="15609" width="11.28515625" style="2" customWidth="1"/>
    <col min="15610" max="15610" width="16.7109375" style="2" customWidth="1"/>
    <col min="15611" max="15611" width="8.85546875" style="2" customWidth="1"/>
    <col min="15612" max="15612" width="29" style="2" customWidth="1"/>
    <col min="15613" max="15861" width="9.140625" style="2"/>
    <col min="15862" max="15862" width="3.28515625" style="2" customWidth="1"/>
    <col min="15863" max="15863" width="29" style="2" customWidth="1"/>
    <col min="15864" max="15864" width="14" style="2" customWidth="1"/>
    <col min="15865" max="15865" width="11.28515625" style="2" customWidth="1"/>
    <col min="15866" max="15866" width="16.7109375" style="2" customWidth="1"/>
    <col min="15867" max="15867" width="8.85546875" style="2" customWidth="1"/>
    <col min="15868" max="15868" width="29" style="2" customWidth="1"/>
    <col min="15869" max="16117" width="9.140625" style="2"/>
    <col min="16118" max="16118" width="3.28515625" style="2" customWidth="1"/>
    <col min="16119" max="16119" width="29" style="2" customWidth="1"/>
    <col min="16120" max="16120" width="14" style="2" customWidth="1"/>
    <col min="16121" max="16121" width="11.28515625" style="2" customWidth="1"/>
    <col min="16122" max="16122" width="16.7109375" style="2" customWidth="1"/>
    <col min="16123" max="16123" width="8.85546875" style="2" customWidth="1"/>
    <col min="16124" max="16124" width="29" style="2" customWidth="1"/>
    <col min="16125" max="16384" width="9.140625" style="2"/>
  </cols>
  <sheetData>
    <row r="1" spans="1:254" ht="15.75" x14ac:dyDescent="0.2">
      <c r="B1" s="79"/>
      <c r="C1" s="79"/>
      <c r="D1" s="79"/>
      <c r="E1" s="79"/>
      <c r="F1" s="79"/>
      <c r="G1" s="79"/>
      <c r="H1" s="79"/>
      <c r="I1" s="79"/>
      <c r="J1" s="79"/>
    </row>
    <row r="2" spans="1:254" ht="38.25" customHeight="1" x14ac:dyDescent="0.2">
      <c r="A2" s="222" t="s">
        <v>345</v>
      </c>
      <c r="B2" s="222"/>
      <c r="C2" s="222"/>
      <c r="D2" s="222"/>
      <c r="E2" s="222"/>
      <c r="F2" s="222"/>
      <c r="G2" s="222"/>
      <c r="H2" s="222"/>
      <c r="I2" s="222"/>
      <c r="J2" s="222"/>
    </row>
    <row r="3" spans="1:254" s="63" customFormat="1" ht="45" x14ac:dyDescent="0.2">
      <c r="A3" s="72" t="s">
        <v>119</v>
      </c>
      <c r="B3" s="73" t="s">
        <v>223</v>
      </c>
      <c r="C3" s="74" t="s">
        <v>224</v>
      </c>
      <c r="D3" s="74" t="s">
        <v>225</v>
      </c>
      <c r="E3" s="74" t="s">
        <v>216</v>
      </c>
      <c r="F3" s="74" t="s">
        <v>123</v>
      </c>
      <c r="G3" s="74" t="s">
        <v>92</v>
      </c>
      <c r="H3" s="74" t="s">
        <v>93</v>
      </c>
      <c r="I3" s="74" t="s">
        <v>387</v>
      </c>
      <c r="J3" s="76" t="s">
        <v>100</v>
      </c>
    </row>
    <row r="4" spans="1:254" s="63" customFormat="1" ht="25.5" x14ac:dyDescent="0.2">
      <c r="A4" s="223">
        <v>1</v>
      </c>
      <c r="B4" s="225" t="s">
        <v>226</v>
      </c>
      <c r="C4" s="77" t="s">
        <v>230</v>
      </c>
      <c r="D4" s="77" t="s">
        <v>231</v>
      </c>
      <c r="E4" s="77">
        <v>6</v>
      </c>
      <c r="F4" s="78">
        <f>E4*2</f>
        <v>12</v>
      </c>
      <c r="G4" s="85">
        <f ca="1">Diurno!D136</f>
        <v>19843.053664385778</v>
      </c>
      <c r="H4" s="85">
        <f ca="1">G4*E4</f>
        <v>119058.32198631467</v>
      </c>
      <c r="I4" s="85">
        <f t="shared" ref="I4:I10" ca="1" si="0">H4*12</f>
        <v>1428699.863835776</v>
      </c>
      <c r="J4" s="92"/>
      <c r="K4" s="63">
        <f>E4+E6+E7+E8</f>
        <v>12</v>
      </c>
    </row>
    <row r="5" spans="1:254" s="63" customFormat="1" ht="25.5" x14ac:dyDescent="0.2">
      <c r="A5" s="224"/>
      <c r="B5" s="226"/>
      <c r="C5" s="77" t="s">
        <v>230</v>
      </c>
      <c r="D5" s="77" t="s">
        <v>419</v>
      </c>
      <c r="E5" s="77">
        <v>2</v>
      </c>
      <c r="F5" s="78">
        <v>4</v>
      </c>
      <c r="G5" s="85">
        <f ca="1">Noturno!D136</f>
        <v>21961.42353736595</v>
      </c>
      <c r="H5" s="85">
        <f ca="1">G5*E5</f>
        <v>43922.847074731901</v>
      </c>
      <c r="I5" s="85">
        <f t="shared" ca="1" si="0"/>
        <v>527074.16489678284</v>
      </c>
      <c r="J5" s="92"/>
      <c r="K5" s="63">
        <f>E5</f>
        <v>2</v>
      </c>
    </row>
    <row r="6" spans="1:254" s="63" customFormat="1" ht="25.5" x14ac:dyDescent="0.2">
      <c r="A6" s="153">
        <v>2</v>
      </c>
      <c r="B6" s="77" t="s">
        <v>227</v>
      </c>
      <c r="C6" s="77" t="s">
        <v>230</v>
      </c>
      <c r="D6" s="77" t="s">
        <v>231</v>
      </c>
      <c r="E6" s="77">
        <v>2</v>
      </c>
      <c r="F6" s="78">
        <v>4</v>
      </c>
      <c r="G6" s="85">
        <f ca="1">Diurno!D136</f>
        <v>19843.053664385778</v>
      </c>
      <c r="H6" s="85">
        <f ca="1">G6*E6</f>
        <v>39686.107328771555</v>
      </c>
      <c r="I6" s="85">
        <f t="shared" ca="1" si="0"/>
        <v>476233.28794525866</v>
      </c>
      <c r="J6" s="92"/>
    </row>
    <row r="7" spans="1:254" s="63" customFormat="1" ht="25.5" x14ac:dyDescent="0.2">
      <c r="A7" s="153">
        <v>3</v>
      </c>
      <c r="B7" s="77" t="s">
        <v>228</v>
      </c>
      <c r="C7" s="77" t="s">
        <v>230</v>
      </c>
      <c r="D7" s="77" t="s">
        <v>231</v>
      </c>
      <c r="E7" s="77">
        <v>2</v>
      </c>
      <c r="F7" s="78">
        <f>E7*2</f>
        <v>4</v>
      </c>
      <c r="G7" s="85">
        <f ca="1">Diurno!D136</f>
        <v>19843.053664385778</v>
      </c>
      <c r="H7" s="85">
        <f ca="1">G7*E7</f>
        <v>39686.107328771555</v>
      </c>
      <c r="I7" s="85">
        <f t="shared" ca="1" si="0"/>
        <v>476233.28794525866</v>
      </c>
      <c r="J7" s="92"/>
    </row>
    <row r="8" spans="1:254" s="63" customFormat="1" ht="25.5" x14ac:dyDescent="0.2">
      <c r="A8" s="153">
        <v>4</v>
      </c>
      <c r="B8" s="77" t="s">
        <v>229</v>
      </c>
      <c r="C8" s="77" t="s">
        <v>230</v>
      </c>
      <c r="D8" s="77" t="s">
        <v>231</v>
      </c>
      <c r="E8" s="77">
        <v>2</v>
      </c>
      <c r="F8" s="78">
        <f>E8*2</f>
        <v>4</v>
      </c>
      <c r="G8" s="85">
        <f ca="1">Diurno!D136</f>
        <v>19843.053664385778</v>
      </c>
      <c r="H8" s="85">
        <f ca="1">G8*E8</f>
        <v>39686.107328771555</v>
      </c>
      <c r="I8" s="85">
        <f t="shared" ca="1" si="0"/>
        <v>476233.28794525866</v>
      </c>
      <c r="J8" s="92"/>
    </row>
    <row r="9" spans="1:254" s="63" customFormat="1" ht="18" x14ac:dyDescent="0.2">
      <c r="A9" s="153">
        <v>5</v>
      </c>
      <c r="B9" s="77"/>
      <c r="C9" s="77" t="s">
        <v>438</v>
      </c>
      <c r="D9" s="77" t="s">
        <v>231</v>
      </c>
      <c r="E9" s="77"/>
      <c r="F9" s="78">
        <v>24</v>
      </c>
      <c r="G9" s="85">
        <f>Diurno!D147</f>
        <v>863.78</v>
      </c>
      <c r="H9" s="85">
        <f>G9*F9</f>
        <v>20730.72</v>
      </c>
      <c r="I9" s="85">
        <f t="shared" ref="I9" si="1">H9*12</f>
        <v>248768.64000000001</v>
      </c>
      <c r="J9" s="92"/>
    </row>
    <row r="10" spans="1:254" s="63" customFormat="1" ht="18" x14ac:dyDescent="0.2">
      <c r="A10" s="153">
        <v>5</v>
      </c>
      <c r="B10" s="77"/>
      <c r="C10" s="77" t="s">
        <v>439</v>
      </c>
      <c r="D10" s="77" t="s">
        <v>419</v>
      </c>
      <c r="E10" s="77"/>
      <c r="F10" s="78">
        <v>4</v>
      </c>
      <c r="G10" s="85">
        <f>Noturno!D148</f>
        <v>876.72359999999992</v>
      </c>
      <c r="H10" s="85">
        <f>G10*F10</f>
        <v>3506.8943999999997</v>
      </c>
      <c r="I10" s="85">
        <f t="shared" si="0"/>
        <v>42082.732799999998</v>
      </c>
      <c r="J10" s="92"/>
    </row>
    <row r="11" spans="1:254" s="63" customFormat="1" ht="15.75" customHeight="1" x14ac:dyDescent="0.2">
      <c r="A11" s="227" t="s">
        <v>121</v>
      </c>
      <c r="B11" s="228"/>
      <c r="C11" s="228"/>
      <c r="D11" s="229"/>
      <c r="E11" s="84">
        <f>SUM(E4:E9)</f>
        <v>14</v>
      </c>
      <c r="F11" s="84">
        <f>SUM(F4:F10)</f>
        <v>56</v>
      </c>
      <c r="G11" s="93"/>
      <c r="H11" s="86">
        <f ca="1">SUM(H4:H10)</f>
        <v>306277.10544736125</v>
      </c>
      <c r="I11" s="86">
        <f ca="1">SUM(I4:I10)</f>
        <v>3675325.265368334</v>
      </c>
      <c r="J11" s="87" t="e">
        <f>SUM(#REF!)</f>
        <v>#REF!</v>
      </c>
    </row>
    <row r="12" spans="1:254" s="63" customFormat="1" ht="15" customHeight="1" x14ac:dyDescent="0.2">
      <c r="A12" s="230"/>
      <c r="B12" s="231"/>
      <c r="C12" s="231"/>
      <c r="D12" s="231"/>
      <c r="E12" s="231"/>
      <c r="F12" s="231"/>
      <c r="G12" s="231"/>
      <c r="H12" s="231"/>
      <c r="I12" s="231"/>
      <c r="J12" s="232"/>
      <c r="K12" s="64"/>
      <c r="L12" s="64"/>
      <c r="M12" s="64"/>
      <c r="N12" s="64"/>
      <c r="O12" s="64"/>
      <c r="P12" s="64"/>
      <c r="Q12" s="64"/>
      <c r="R12" s="64"/>
      <c r="S12" s="64"/>
      <c r="T12" s="64"/>
      <c r="U12" s="64"/>
      <c r="V12" s="64"/>
      <c r="W12" s="64"/>
      <c r="X12" s="64"/>
      <c r="Y12" s="64"/>
      <c r="Z12" s="64"/>
      <c r="AA12" s="64"/>
      <c r="AB12" s="64"/>
      <c r="AC12" s="64"/>
      <c r="AD12" s="64"/>
      <c r="AE12" s="64"/>
      <c r="AF12" s="64"/>
      <c r="AG12" s="64"/>
      <c r="AH12" s="64"/>
      <c r="AI12" s="64"/>
      <c r="AJ12" s="64"/>
      <c r="AK12" s="64"/>
      <c r="AL12" s="64"/>
      <c r="AM12" s="64"/>
      <c r="AN12" s="64"/>
      <c r="AO12" s="64"/>
      <c r="AP12" s="64"/>
      <c r="AQ12" s="64"/>
      <c r="AR12" s="64"/>
      <c r="AS12" s="64"/>
      <c r="AT12" s="64"/>
      <c r="AU12" s="64"/>
      <c r="AV12" s="64"/>
      <c r="AW12" s="64"/>
      <c r="AX12" s="64"/>
      <c r="AY12" s="64"/>
      <c r="AZ12" s="64"/>
      <c r="BA12" s="64"/>
      <c r="BB12" s="64"/>
      <c r="BC12" s="64"/>
      <c r="BD12" s="64"/>
      <c r="BE12" s="64"/>
      <c r="BF12" s="64"/>
      <c r="BG12" s="64"/>
      <c r="BH12" s="64"/>
      <c r="BI12" s="64"/>
      <c r="BJ12" s="64"/>
      <c r="BK12" s="64"/>
      <c r="BL12" s="64"/>
      <c r="BM12" s="64"/>
      <c r="BN12" s="64"/>
      <c r="BO12" s="64"/>
      <c r="BP12" s="64"/>
      <c r="BQ12" s="64"/>
      <c r="BR12" s="64"/>
      <c r="BS12" s="64"/>
      <c r="BT12" s="64"/>
      <c r="BU12" s="64"/>
      <c r="BV12" s="64"/>
      <c r="BW12" s="64"/>
      <c r="BX12" s="64"/>
      <c r="BY12" s="64"/>
      <c r="BZ12" s="64"/>
      <c r="CA12" s="64"/>
      <c r="CB12" s="64"/>
      <c r="CC12" s="64"/>
      <c r="CD12" s="64"/>
      <c r="CE12" s="64"/>
      <c r="CF12" s="64"/>
      <c r="CG12" s="64"/>
      <c r="CH12" s="64"/>
      <c r="CI12" s="64"/>
      <c r="CJ12" s="64"/>
      <c r="CK12" s="64"/>
      <c r="CL12" s="64"/>
      <c r="CM12" s="64"/>
      <c r="CN12" s="64"/>
      <c r="CO12" s="64"/>
      <c r="CP12" s="64"/>
      <c r="CQ12" s="64"/>
      <c r="CR12" s="64"/>
      <c r="CS12" s="64"/>
      <c r="CT12" s="64"/>
      <c r="CU12" s="64"/>
      <c r="CV12" s="64"/>
      <c r="CW12" s="64"/>
      <c r="CX12" s="64"/>
      <c r="CY12" s="64"/>
      <c r="CZ12" s="64"/>
      <c r="DA12" s="64"/>
      <c r="DB12" s="64"/>
      <c r="DC12" s="64"/>
      <c r="DD12" s="64"/>
      <c r="DE12" s="64"/>
      <c r="DF12" s="64"/>
      <c r="DG12" s="64"/>
      <c r="DH12" s="64"/>
      <c r="DI12" s="64"/>
      <c r="DJ12" s="64"/>
      <c r="DK12" s="64"/>
      <c r="DL12" s="64"/>
      <c r="DM12" s="64"/>
      <c r="DN12" s="64"/>
      <c r="DO12" s="64"/>
      <c r="DP12" s="64"/>
      <c r="DQ12" s="64"/>
      <c r="DR12" s="64"/>
      <c r="DS12" s="64"/>
      <c r="DT12" s="64"/>
      <c r="DU12" s="64"/>
      <c r="DV12" s="64"/>
      <c r="DW12" s="64"/>
      <c r="DX12" s="64"/>
      <c r="DY12" s="64"/>
      <c r="DZ12" s="64"/>
      <c r="EA12" s="64"/>
      <c r="EB12" s="64"/>
      <c r="EC12" s="64"/>
      <c r="ED12" s="64"/>
      <c r="EE12" s="64"/>
      <c r="EF12" s="64"/>
      <c r="EG12" s="64"/>
      <c r="EH12" s="64"/>
      <c r="EI12" s="64"/>
      <c r="EJ12" s="64"/>
      <c r="EK12" s="64"/>
      <c r="EL12" s="64"/>
      <c r="EM12" s="64"/>
      <c r="EN12" s="64"/>
      <c r="EO12" s="64"/>
      <c r="EP12" s="64"/>
      <c r="EQ12" s="64"/>
      <c r="ER12" s="64"/>
      <c r="ES12" s="64"/>
      <c r="ET12" s="64"/>
      <c r="EU12" s="64"/>
      <c r="EV12" s="64"/>
      <c r="EW12" s="64"/>
      <c r="EX12" s="64"/>
      <c r="EY12" s="64"/>
      <c r="EZ12" s="64"/>
      <c r="FA12" s="64"/>
      <c r="FB12" s="64"/>
      <c r="FC12" s="64"/>
      <c r="FD12" s="64"/>
      <c r="FE12" s="64"/>
      <c r="FF12" s="64"/>
      <c r="FG12" s="64"/>
      <c r="FH12" s="64"/>
      <c r="FI12" s="64"/>
      <c r="FJ12" s="64"/>
      <c r="FK12" s="64"/>
      <c r="FL12" s="64"/>
      <c r="FM12" s="64"/>
      <c r="FN12" s="64"/>
      <c r="FO12" s="64"/>
      <c r="FP12" s="64"/>
      <c r="FQ12" s="64"/>
      <c r="FR12" s="64"/>
      <c r="FS12" s="64"/>
      <c r="FT12" s="64"/>
      <c r="FU12" s="64"/>
      <c r="FV12" s="64"/>
      <c r="FW12" s="64"/>
      <c r="FX12" s="64"/>
      <c r="FY12" s="64"/>
      <c r="FZ12" s="64"/>
      <c r="GA12" s="64"/>
      <c r="GB12" s="64"/>
      <c r="GC12" s="64"/>
      <c r="GD12" s="64"/>
      <c r="GE12" s="64"/>
      <c r="GF12" s="64"/>
      <c r="GG12" s="64"/>
      <c r="GH12" s="64"/>
      <c r="GI12" s="64"/>
      <c r="GJ12" s="64"/>
      <c r="GK12" s="64"/>
      <c r="GL12" s="64"/>
      <c r="GM12" s="64"/>
      <c r="GN12" s="64"/>
      <c r="GO12" s="64"/>
      <c r="GP12" s="64"/>
      <c r="GQ12" s="64"/>
      <c r="GR12" s="64"/>
      <c r="GS12" s="64"/>
      <c r="GT12" s="64"/>
      <c r="GU12" s="64"/>
      <c r="GV12" s="64"/>
      <c r="GW12" s="64"/>
      <c r="GX12" s="64"/>
      <c r="GY12" s="64"/>
      <c r="GZ12" s="64"/>
      <c r="HA12" s="64"/>
      <c r="HB12" s="64"/>
      <c r="HC12" s="64"/>
      <c r="HD12" s="64"/>
      <c r="HE12" s="64"/>
      <c r="HF12" s="64"/>
      <c r="HG12" s="64"/>
      <c r="HH12" s="64"/>
      <c r="HI12" s="64"/>
      <c r="HJ12" s="64"/>
      <c r="HK12" s="64"/>
      <c r="HL12" s="64"/>
      <c r="HM12" s="64"/>
      <c r="HN12" s="64"/>
      <c r="HO12" s="64"/>
      <c r="HP12" s="64"/>
      <c r="HQ12" s="64"/>
      <c r="HR12" s="64"/>
      <c r="HS12" s="64"/>
      <c r="HT12" s="64"/>
      <c r="HU12" s="64"/>
      <c r="HV12" s="64"/>
      <c r="HW12" s="64"/>
      <c r="HX12" s="64"/>
      <c r="HY12" s="64"/>
      <c r="HZ12" s="64"/>
      <c r="IA12" s="64"/>
      <c r="IB12" s="64"/>
      <c r="IC12" s="64"/>
      <c r="ID12" s="64"/>
      <c r="IE12" s="64"/>
      <c r="IF12" s="64"/>
      <c r="IG12" s="64"/>
      <c r="IH12" s="64"/>
      <c r="II12" s="64"/>
      <c r="IJ12" s="64"/>
      <c r="IK12" s="64"/>
      <c r="IL12" s="64"/>
      <c r="IM12" s="64"/>
      <c r="IN12" s="64"/>
      <c r="IO12" s="64"/>
      <c r="IP12" s="64"/>
      <c r="IQ12" s="64"/>
      <c r="IR12" s="64"/>
      <c r="IS12" s="64"/>
      <c r="IT12" s="64"/>
    </row>
    <row r="13" spans="1:254" s="63" customFormat="1" ht="18" customHeight="1" x14ac:dyDescent="0.2">
      <c r="A13" s="233" t="s">
        <v>66</v>
      </c>
      <c r="B13" s="233"/>
      <c r="C13" s="233"/>
      <c r="D13" s="233"/>
      <c r="E13" s="233"/>
      <c r="F13" s="233"/>
      <c r="G13" s="233"/>
      <c r="H13" s="233"/>
      <c r="I13" s="90">
        <f ca="1">H11</f>
        <v>306277.10544736125</v>
      </c>
      <c r="J13" s="65" t="e">
        <f>#REF!</f>
        <v>#REF!</v>
      </c>
      <c r="K13" s="64"/>
      <c r="L13" s="64"/>
      <c r="M13" s="64"/>
      <c r="N13" s="64"/>
      <c r="O13" s="64"/>
      <c r="P13" s="64"/>
      <c r="Q13" s="64"/>
      <c r="R13" s="64"/>
      <c r="S13" s="64"/>
      <c r="T13" s="64"/>
      <c r="U13" s="64"/>
      <c r="V13" s="64"/>
      <c r="W13" s="64"/>
      <c r="X13" s="64"/>
      <c r="Y13" s="64"/>
      <c r="Z13" s="64"/>
      <c r="AA13" s="64"/>
      <c r="AB13" s="64"/>
      <c r="AC13" s="64"/>
      <c r="AD13" s="64"/>
      <c r="AE13" s="64"/>
      <c r="AF13" s="64"/>
      <c r="AG13" s="64"/>
      <c r="AH13" s="64"/>
      <c r="AI13" s="64"/>
      <c r="AJ13" s="64"/>
      <c r="AK13" s="64"/>
      <c r="AL13" s="64"/>
      <c r="AM13" s="64"/>
      <c r="AN13" s="64"/>
      <c r="AO13" s="64"/>
      <c r="AP13" s="64"/>
      <c r="AQ13" s="64"/>
      <c r="AR13" s="64"/>
      <c r="AS13" s="64"/>
      <c r="AT13" s="64"/>
      <c r="AU13" s="64"/>
      <c r="AV13" s="64"/>
      <c r="AW13" s="64"/>
      <c r="AX13" s="64"/>
      <c r="AY13" s="64"/>
      <c r="AZ13" s="64"/>
      <c r="BA13" s="64"/>
      <c r="BB13" s="64"/>
      <c r="BC13" s="64"/>
      <c r="BD13" s="64"/>
      <c r="BE13" s="64"/>
      <c r="BF13" s="64"/>
      <c r="BG13" s="64"/>
      <c r="BH13" s="64"/>
      <c r="BI13" s="64"/>
      <c r="BJ13" s="64"/>
      <c r="BK13" s="64"/>
      <c r="BL13" s="64"/>
      <c r="BM13" s="64"/>
      <c r="BN13" s="64"/>
      <c r="BO13" s="64"/>
      <c r="BP13" s="64"/>
      <c r="BQ13" s="64"/>
      <c r="BR13" s="64"/>
      <c r="BS13" s="64"/>
      <c r="BT13" s="64"/>
      <c r="BU13" s="64"/>
      <c r="BV13" s="64"/>
      <c r="BW13" s="64"/>
      <c r="BX13" s="64"/>
      <c r="BY13" s="64"/>
      <c r="BZ13" s="64"/>
      <c r="CA13" s="64"/>
      <c r="CB13" s="64"/>
      <c r="CC13" s="64"/>
      <c r="CD13" s="64"/>
      <c r="CE13" s="64"/>
      <c r="CF13" s="64"/>
      <c r="CG13" s="64"/>
      <c r="CH13" s="64"/>
      <c r="CI13" s="64"/>
      <c r="CJ13" s="64"/>
      <c r="CK13" s="64"/>
      <c r="CL13" s="64"/>
      <c r="CM13" s="64"/>
      <c r="CN13" s="64"/>
      <c r="CO13" s="64"/>
      <c r="CP13" s="64"/>
      <c r="CQ13" s="64"/>
      <c r="CR13" s="64"/>
      <c r="CS13" s="64"/>
      <c r="CT13" s="64"/>
      <c r="CU13" s="64"/>
      <c r="CV13" s="64"/>
      <c r="CW13" s="64"/>
      <c r="CX13" s="64"/>
      <c r="CY13" s="64"/>
      <c r="CZ13" s="64"/>
      <c r="DA13" s="64"/>
      <c r="DB13" s="64"/>
      <c r="DC13" s="64"/>
      <c r="DD13" s="64"/>
      <c r="DE13" s="64"/>
      <c r="DF13" s="64"/>
      <c r="DG13" s="64"/>
      <c r="DH13" s="64"/>
      <c r="DI13" s="64"/>
      <c r="DJ13" s="64"/>
      <c r="DK13" s="64"/>
      <c r="DL13" s="64"/>
      <c r="DM13" s="64"/>
      <c r="DN13" s="64"/>
      <c r="DO13" s="64"/>
      <c r="DP13" s="64"/>
      <c r="DQ13" s="64"/>
      <c r="DR13" s="64"/>
      <c r="DS13" s="64"/>
      <c r="DT13" s="64"/>
      <c r="DU13" s="64"/>
      <c r="DV13" s="64"/>
      <c r="DW13" s="64"/>
      <c r="DX13" s="64"/>
      <c r="DY13" s="64"/>
      <c r="DZ13" s="64"/>
      <c r="EA13" s="64"/>
      <c r="EB13" s="64"/>
      <c r="EC13" s="64"/>
      <c r="ED13" s="64"/>
      <c r="EE13" s="64"/>
      <c r="EF13" s="64"/>
      <c r="EG13" s="64"/>
      <c r="EH13" s="64"/>
      <c r="EI13" s="64"/>
      <c r="EJ13" s="64"/>
      <c r="EK13" s="64"/>
      <c r="EL13" s="64"/>
      <c r="EM13" s="64"/>
      <c r="EN13" s="64"/>
      <c r="EO13" s="64"/>
      <c r="EP13" s="64"/>
      <c r="EQ13" s="64"/>
      <c r="ER13" s="64"/>
      <c r="ES13" s="64"/>
      <c r="ET13" s="64"/>
      <c r="EU13" s="64"/>
      <c r="EV13" s="64"/>
      <c r="EW13" s="64"/>
      <c r="EX13" s="64"/>
      <c r="EY13" s="64"/>
      <c r="EZ13" s="64"/>
      <c r="FA13" s="64"/>
      <c r="FB13" s="64"/>
      <c r="FC13" s="64"/>
      <c r="FD13" s="64"/>
      <c r="FE13" s="64"/>
      <c r="FF13" s="64"/>
      <c r="FG13" s="64"/>
      <c r="FH13" s="64"/>
      <c r="FI13" s="64"/>
      <c r="FJ13" s="64"/>
      <c r="FK13" s="64"/>
      <c r="FL13" s="64"/>
      <c r="FM13" s="64"/>
      <c r="FN13" s="64"/>
      <c r="FO13" s="64"/>
      <c r="FP13" s="64"/>
      <c r="FQ13" s="64"/>
      <c r="FR13" s="64"/>
      <c r="FS13" s="64"/>
      <c r="FT13" s="64"/>
      <c r="FU13" s="64"/>
      <c r="FV13" s="64"/>
      <c r="FW13" s="64"/>
      <c r="FX13" s="64"/>
      <c r="FY13" s="64"/>
      <c r="FZ13" s="64"/>
      <c r="GA13" s="64"/>
      <c r="GB13" s="64"/>
      <c r="GC13" s="64"/>
      <c r="GD13" s="64"/>
      <c r="GE13" s="64"/>
      <c r="GF13" s="64"/>
      <c r="GG13" s="64"/>
      <c r="GH13" s="64"/>
      <c r="GI13" s="64"/>
      <c r="GJ13" s="64"/>
      <c r="GK13" s="64"/>
      <c r="GL13" s="64"/>
      <c r="GM13" s="64"/>
      <c r="GN13" s="64"/>
      <c r="GO13" s="64"/>
      <c r="GP13" s="64"/>
      <c r="GQ13" s="64"/>
      <c r="GR13" s="64"/>
      <c r="GS13" s="64"/>
      <c r="GT13" s="64"/>
      <c r="GU13" s="64"/>
      <c r="GV13" s="64"/>
      <c r="GW13" s="64"/>
      <c r="GX13" s="64"/>
      <c r="GY13" s="64"/>
      <c r="GZ13" s="64"/>
      <c r="HA13" s="64"/>
      <c r="HB13" s="64"/>
      <c r="HC13" s="64"/>
      <c r="HD13" s="64"/>
      <c r="HE13" s="64"/>
      <c r="HF13" s="64"/>
      <c r="HG13" s="64"/>
      <c r="HH13" s="64"/>
      <c r="HI13" s="64"/>
      <c r="HJ13" s="64"/>
      <c r="HK13" s="64"/>
      <c r="HL13" s="64"/>
      <c r="HM13" s="64"/>
      <c r="HN13" s="64"/>
      <c r="HO13" s="64"/>
      <c r="HP13" s="64"/>
      <c r="HQ13" s="64"/>
      <c r="HR13" s="64"/>
      <c r="HS13" s="64"/>
      <c r="HT13" s="64"/>
      <c r="HU13" s="64"/>
      <c r="HV13" s="64"/>
      <c r="HW13" s="64"/>
      <c r="HX13" s="64"/>
      <c r="HY13" s="64"/>
      <c r="HZ13" s="64"/>
      <c r="IA13" s="64"/>
      <c r="IB13" s="64"/>
      <c r="IC13" s="64"/>
      <c r="ID13" s="64"/>
      <c r="IE13" s="64"/>
      <c r="IF13" s="64"/>
      <c r="IG13" s="64"/>
      <c r="IH13" s="64"/>
      <c r="II13" s="64"/>
      <c r="IJ13" s="64"/>
      <c r="IK13" s="64"/>
      <c r="IL13" s="64"/>
      <c r="IM13" s="64"/>
      <c r="IN13" s="64"/>
      <c r="IO13" s="64"/>
      <c r="IP13" s="64"/>
      <c r="IQ13" s="64"/>
      <c r="IR13" s="64"/>
      <c r="IS13" s="64"/>
      <c r="IT13" s="64"/>
    </row>
    <row r="14" spans="1:254" s="63" customFormat="1" ht="15" customHeight="1" x14ac:dyDescent="0.2">
      <c r="A14" s="258"/>
      <c r="B14" s="259"/>
      <c r="C14" s="259"/>
      <c r="D14" s="259"/>
      <c r="E14" s="259"/>
      <c r="F14" s="259"/>
      <c r="G14" s="259"/>
      <c r="H14" s="259"/>
      <c r="I14" s="259"/>
      <c r="J14" s="260"/>
    </row>
    <row r="15" spans="1:254" s="63" customFormat="1" ht="4.5" customHeight="1" x14ac:dyDescent="0.2">
      <c r="A15" s="234"/>
      <c r="B15" s="235"/>
      <c r="C15" s="235"/>
      <c r="D15" s="235"/>
      <c r="E15" s="235"/>
      <c r="F15" s="235"/>
      <c r="G15" s="235"/>
      <c r="H15" s="235"/>
      <c r="I15" s="235"/>
      <c r="J15" s="236"/>
      <c r="K15" s="64"/>
      <c r="L15" s="64"/>
      <c r="M15" s="64"/>
      <c r="N15" s="64"/>
      <c r="O15" s="64"/>
      <c r="P15" s="64"/>
      <c r="Q15" s="64"/>
      <c r="R15" s="64"/>
      <c r="S15" s="64"/>
      <c r="T15" s="64"/>
      <c r="U15" s="64"/>
      <c r="V15" s="64"/>
      <c r="W15" s="64"/>
      <c r="X15" s="64"/>
      <c r="Y15" s="64"/>
      <c r="Z15" s="64"/>
      <c r="AA15" s="64"/>
      <c r="AB15" s="64"/>
      <c r="AC15" s="64"/>
      <c r="AD15" s="64"/>
      <c r="AE15" s="64"/>
      <c r="AF15" s="64"/>
      <c r="AG15" s="64"/>
      <c r="AH15" s="64"/>
      <c r="AI15" s="64"/>
      <c r="AJ15" s="64"/>
      <c r="AK15" s="64"/>
      <c r="AL15" s="64"/>
      <c r="AM15" s="64"/>
      <c r="AN15" s="64"/>
      <c r="AO15" s="64"/>
      <c r="AP15" s="64"/>
      <c r="AQ15" s="64"/>
      <c r="AR15" s="64"/>
      <c r="AS15" s="64"/>
      <c r="AT15" s="64"/>
      <c r="AU15" s="64"/>
      <c r="AV15" s="64"/>
      <c r="AW15" s="64"/>
      <c r="AX15" s="64"/>
      <c r="AY15" s="64"/>
      <c r="AZ15" s="64"/>
      <c r="BA15" s="64"/>
      <c r="BB15" s="64"/>
      <c r="BC15" s="64"/>
      <c r="BD15" s="64"/>
      <c r="BE15" s="64"/>
      <c r="BF15" s="64"/>
      <c r="BG15" s="64"/>
      <c r="BH15" s="64"/>
      <c r="BI15" s="64"/>
      <c r="BJ15" s="64"/>
      <c r="BK15" s="64"/>
      <c r="BL15" s="64"/>
      <c r="BM15" s="64"/>
      <c r="BN15" s="64"/>
      <c r="BO15" s="64"/>
      <c r="BP15" s="64"/>
      <c r="BQ15" s="64"/>
      <c r="BR15" s="64"/>
      <c r="BS15" s="64"/>
      <c r="BT15" s="64"/>
      <c r="BU15" s="64"/>
      <c r="BV15" s="64"/>
      <c r="BW15" s="64"/>
      <c r="BX15" s="64"/>
      <c r="BY15" s="64"/>
      <c r="BZ15" s="64"/>
      <c r="CA15" s="64"/>
      <c r="CB15" s="64"/>
      <c r="CC15" s="64"/>
      <c r="CD15" s="64"/>
      <c r="CE15" s="64"/>
      <c r="CF15" s="64"/>
      <c r="CG15" s="64"/>
      <c r="CH15" s="64"/>
      <c r="CI15" s="64"/>
      <c r="CJ15" s="64"/>
      <c r="CK15" s="64"/>
      <c r="CL15" s="64"/>
      <c r="CM15" s="64"/>
      <c r="CN15" s="64"/>
      <c r="CO15" s="64"/>
      <c r="CP15" s="64"/>
      <c r="CQ15" s="64"/>
      <c r="CR15" s="64"/>
      <c r="CS15" s="64"/>
      <c r="CT15" s="64"/>
      <c r="CU15" s="64"/>
      <c r="CV15" s="64"/>
      <c r="CW15" s="64"/>
      <c r="CX15" s="64"/>
      <c r="CY15" s="64"/>
      <c r="CZ15" s="64"/>
      <c r="DA15" s="64"/>
      <c r="DB15" s="64"/>
      <c r="DC15" s="64"/>
      <c r="DD15" s="64"/>
      <c r="DE15" s="64"/>
      <c r="DF15" s="64"/>
      <c r="DG15" s="64"/>
      <c r="DH15" s="64"/>
      <c r="DI15" s="64"/>
      <c r="DJ15" s="64"/>
      <c r="DK15" s="64"/>
      <c r="DL15" s="64"/>
      <c r="DM15" s="64"/>
      <c r="DN15" s="64"/>
      <c r="DO15" s="64"/>
      <c r="DP15" s="64"/>
      <c r="DQ15" s="64"/>
      <c r="DR15" s="64"/>
      <c r="DS15" s="64"/>
      <c r="DT15" s="64"/>
      <c r="DU15" s="64"/>
      <c r="DV15" s="64"/>
      <c r="DW15" s="64"/>
      <c r="DX15" s="64"/>
      <c r="DY15" s="64"/>
      <c r="DZ15" s="64"/>
      <c r="EA15" s="64"/>
      <c r="EB15" s="64"/>
      <c r="EC15" s="64"/>
      <c r="ED15" s="64"/>
      <c r="EE15" s="64"/>
      <c r="EF15" s="64"/>
      <c r="EG15" s="64"/>
      <c r="EH15" s="64"/>
      <c r="EI15" s="64"/>
      <c r="EJ15" s="64"/>
      <c r="EK15" s="64"/>
      <c r="EL15" s="64"/>
      <c r="EM15" s="64"/>
      <c r="EN15" s="64"/>
      <c r="EO15" s="64"/>
      <c r="EP15" s="64"/>
      <c r="EQ15" s="64"/>
      <c r="ER15" s="64"/>
      <c r="ES15" s="64"/>
      <c r="ET15" s="64"/>
      <c r="EU15" s="64"/>
      <c r="EV15" s="64"/>
      <c r="EW15" s="64"/>
      <c r="EX15" s="64"/>
      <c r="EY15" s="64"/>
      <c r="EZ15" s="64"/>
      <c r="FA15" s="64"/>
      <c r="FB15" s="64"/>
      <c r="FC15" s="64"/>
      <c r="FD15" s="64"/>
      <c r="FE15" s="64"/>
      <c r="FF15" s="64"/>
      <c r="FG15" s="64"/>
      <c r="FH15" s="64"/>
      <c r="FI15" s="64"/>
      <c r="FJ15" s="64"/>
      <c r="FK15" s="64"/>
      <c r="FL15" s="64"/>
      <c r="FM15" s="64"/>
      <c r="FN15" s="64"/>
      <c r="FO15" s="64"/>
      <c r="FP15" s="64"/>
      <c r="FQ15" s="64"/>
      <c r="FR15" s="64"/>
      <c r="FS15" s="64"/>
      <c r="FT15" s="64"/>
      <c r="FU15" s="64"/>
      <c r="FV15" s="64"/>
      <c r="FW15" s="64"/>
      <c r="FX15" s="64"/>
      <c r="FY15" s="64"/>
      <c r="FZ15" s="64"/>
      <c r="GA15" s="64"/>
      <c r="GB15" s="64"/>
      <c r="GC15" s="64"/>
      <c r="GD15" s="64"/>
      <c r="GE15" s="64"/>
      <c r="GF15" s="64"/>
      <c r="GG15" s="64"/>
      <c r="GH15" s="64"/>
      <c r="GI15" s="64"/>
      <c r="GJ15" s="64"/>
      <c r="GK15" s="64"/>
      <c r="GL15" s="64"/>
      <c r="GM15" s="64"/>
      <c r="GN15" s="64"/>
      <c r="GO15" s="64"/>
      <c r="GP15" s="64"/>
      <c r="GQ15" s="64"/>
      <c r="GR15" s="64"/>
      <c r="GS15" s="64"/>
      <c r="GT15" s="64"/>
      <c r="GU15" s="64"/>
      <c r="GV15" s="64"/>
      <c r="GW15" s="64"/>
      <c r="GX15" s="64"/>
      <c r="GY15" s="64"/>
      <c r="GZ15" s="64"/>
      <c r="HA15" s="64"/>
      <c r="HB15" s="64"/>
      <c r="HC15" s="64"/>
      <c r="HD15" s="64"/>
      <c r="HE15" s="64"/>
      <c r="HF15" s="64"/>
      <c r="HG15" s="64"/>
      <c r="HH15" s="64"/>
      <c r="HI15" s="64"/>
      <c r="HJ15" s="64"/>
      <c r="HK15" s="64"/>
      <c r="HL15" s="64"/>
      <c r="HM15" s="64"/>
      <c r="HN15" s="64"/>
      <c r="HO15" s="64"/>
      <c r="HP15" s="64"/>
      <c r="HQ15" s="64"/>
      <c r="HR15" s="64"/>
      <c r="HS15" s="64"/>
      <c r="HT15" s="64"/>
      <c r="HU15" s="64"/>
      <c r="HV15" s="64"/>
      <c r="HW15" s="64"/>
      <c r="HX15" s="64"/>
      <c r="HY15" s="64"/>
      <c r="HZ15" s="64"/>
      <c r="IA15" s="64"/>
      <c r="IB15" s="64"/>
      <c r="IC15" s="64"/>
      <c r="ID15" s="64"/>
      <c r="IE15" s="64"/>
      <c r="IF15" s="64"/>
      <c r="IG15" s="64"/>
      <c r="IH15" s="64"/>
      <c r="II15" s="64"/>
      <c r="IJ15" s="64"/>
      <c r="IK15" s="64"/>
      <c r="IL15" s="64"/>
      <c r="IM15" s="64"/>
      <c r="IN15" s="64"/>
      <c r="IO15" s="64"/>
      <c r="IP15" s="64"/>
      <c r="IQ15" s="64"/>
      <c r="IR15" s="64"/>
      <c r="IS15" s="64"/>
      <c r="IT15" s="64"/>
    </row>
    <row r="16" spans="1:254" s="63" customFormat="1" ht="19.5" customHeight="1" x14ac:dyDescent="0.2">
      <c r="A16" s="233" t="s">
        <v>67</v>
      </c>
      <c r="B16" s="233"/>
      <c r="C16" s="233"/>
      <c r="D16" s="233"/>
      <c r="E16" s="233"/>
      <c r="F16" s="233"/>
      <c r="G16" s="233"/>
      <c r="H16" s="233"/>
      <c r="I16" s="88">
        <v>12</v>
      </c>
      <c r="J16" s="66">
        <v>12</v>
      </c>
    </row>
    <row r="17" spans="1:254" s="63" customFormat="1" ht="5.25" customHeight="1" x14ac:dyDescent="0.2">
      <c r="A17" s="234"/>
      <c r="B17" s="235"/>
      <c r="C17" s="235"/>
      <c r="D17" s="235"/>
      <c r="E17" s="235"/>
      <c r="F17" s="235"/>
      <c r="G17" s="235"/>
      <c r="H17" s="235"/>
      <c r="I17" s="235"/>
      <c r="J17" s="236"/>
      <c r="K17" s="64"/>
      <c r="L17" s="64"/>
      <c r="M17" s="64"/>
      <c r="N17" s="64"/>
      <c r="O17" s="64"/>
      <c r="P17" s="64"/>
      <c r="Q17" s="64"/>
      <c r="R17" s="64"/>
      <c r="S17" s="64"/>
      <c r="T17" s="64"/>
      <c r="U17" s="64"/>
      <c r="V17" s="64"/>
      <c r="W17" s="64"/>
      <c r="X17" s="64"/>
      <c r="Y17" s="64"/>
      <c r="Z17" s="64"/>
      <c r="AA17" s="64"/>
      <c r="AB17" s="64"/>
      <c r="AC17" s="64"/>
      <c r="AD17" s="64"/>
      <c r="AE17" s="64"/>
      <c r="AF17" s="64"/>
      <c r="AG17" s="64"/>
      <c r="AH17" s="64"/>
      <c r="AI17" s="64"/>
      <c r="AJ17" s="64"/>
      <c r="AK17" s="64"/>
      <c r="AL17" s="64"/>
      <c r="AM17" s="64"/>
      <c r="AN17" s="64"/>
      <c r="AO17" s="64"/>
      <c r="AP17" s="64"/>
      <c r="AQ17" s="64"/>
      <c r="AR17" s="64"/>
      <c r="AS17" s="64"/>
      <c r="AT17" s="64"/>
      <c r="AU17" s="64"/>
      <c r="AV17" s="64"/>
      <c r="AW17" s="64"/>
      <c r="AX17" s="64"/>
      <c r="AY17" s="64"/>
      <c r="AZ17" s="64"/>
      <c r="BA17" s="64"/>
      <c r="BB17" s="64"/>
      <c r="BC17" s="64"/>
      <c r="BD17" s="64"/>
      <c r="BE17" s="64"/>
      <c r="BF17" s="64"/>
      <c r="BG17" s="64"/>
      <c r="BH17" s="64"/>
      <c r="BI17" s="64"/>
      <c r="BJ17" s="64"/>
      <c r="BK17" s="64"/>
      <c r="BL17" s="64"/>
      <c r="BM17" s="64"/>
      <c r="BN17" s="64"/>
      <c r="BO17" s="64"/>
      <c r="BP17" s="64"/>
      <c r="BQ17" s="64"/>
      <c r="BR17" s="64"/>
      <c r="BS17" s="64"/>
      <c r="BT17" s="64"/>
      <c r="BU17" s="64"/>
      <c r="BV17" s="64"/>
      <c r="BW17" s="64"/>
      <c r="BX17" s="64"/>
      <c r="BY17" s="64"/>
      <c r="BZ17" s="64"/>
      <c r="CA17" s="64"/>
      <c r="CB17" s="64"/>
      <c r="CC17" s="64"/>
      <c r="CD17" s="64"/>
      <c r="CE17" s="64"/>
      <c r="CF17" s="64"/>
      <c r="CG17" s="64"/>
      <c r="CH17" s="64"/>
      <c r="CI17" s="64"/>
      <c r="CJ17" s="64"/>
      <c r="CK17" s="64"/>
      <c r="CL17" s="64"/>
      <c r="CM17" s="64"/>
      <c r="CN17" s="64"/>
      <c r="CO17" s="64"/>
      <c r="CP17" s="64"/>
      <c r="CQ17" s="64"/>
      <c r="CR17" s="64"/>
      <c r="CS17" s="64"/>
      <c r="CT17" s="64"/>
      <c r="CU17" s="64"/>
      <c r="CV17" s="64"/>
      <c r="CW17" s="64"/>
      <c r="CX17" s="64"/>
      <c r="CY17" s="64"/>
      <c r="CZ17" s="64"/>
      <c r="DA17" s="64"/>
      <c r="DB17" s="64"/>
      <c r="DC17" s="64"/>
      <c r="DD17" s="64"/>
      <c r="DE17" s="64"/>
      <c r="DF17" s="64"/>
      <c r="DG17" s="64"/>
      <c r="DH17" s="64"/>
      <c r="DI17" s="64"/>
      <c r="DJ17" s="64"/>
      <c r="DK17" s="64"/>
      <c r="DL17" s="64"/>
      <c r="DM17" s="64"/>
      <c r="DN17" s="64"/>
      <c r="DO17" s="64"/>
      <c r="DP17" s="64"/>
      <c r="DQ17" s="64"/>
      <c r="DR17" s="64"/>
      <c r="DS17" s="64"/>
      <c r="DT17" s="64"/>
      <c r="DU17" s="64"/>
      <c r="DV17" s="64"/>
      <c r="DW17" s="64"/>
      <c r="DX17" s="64"/>
      <c r="DY17" s="64"/>
      <c r="DZ17" s="64"/>
      <c r="EA17" s="64"/>
      <c r="EB17" s="64"/>
      <c r="EC17" s="64"/>
      <c r="ED17" s="64"/>
      <c r="EE17" s="64"/>
      <c r="EF17" s="64"/>
      <c r="EG17" s="64"/>
      <c r="EH17" s="64"/>
      <c r="EI17" s="64"/>
      <c r="EJ17" s="64"/>
      <c r="EK17" s="64"/>
      <c r="EL17" s="64"/>
      <c r="EM17" s="64"/>
      <c r="EN17" s="64"/>
      <c r="EO17" s="64"/>
      <c r="EP17" s="64"/>
      <c r="EQ17" s="64"/>
      <c r="ER17" s="64"/>
      <c r="ES17" s="64"/>
      <c r="ET17" s="64"/>
      <c r="EU17" s="64"/>
      <c r="EV17" s="64"/>
      <c r="EW17" s="64"/>
      <c r="EX17" s="64"/>
      <c r="EY17" s="64"/>
      <c r="EZ17" s="64"/>
      <c r="FA17" s="64"/>
      <c r="FB17" s="64"/>
      <c r="FC17" s="64"/>
      <c r="FD17" s="64"/>
      <c r="FE17" s="64"/>
      <c r="FF17" s="64"/>
      <c r="FG17" s="64"/>
      <c r="FH17" s="64"/>
      <c r="FI17" s="64"/>
      <c r="FJ17" s="64"/>
      <c r="FK17" s="64"/>
      <c r="FL17" s="64"/>
      <c r="FM17" s="64"/>
      <c r="FN17" s="64"/>
      <c r="FO17" s="64"/>
      <c r="FP17" s="64"/>
      <c r="FQ17" s="64"/>
      <c r="FR17" s="64"/>
      <c r="FS17" s="64"/>
      <c r="FT17" s="64"/>
      <c r="FU17" s="64"/>
      <c r="FV17" s="64"/>
      <c r="FW17" s="64"/>
      <c r="FX17" s="64"/>
      <c r="FY17" s="64"/>
      <c r="FZ17" s="64"/>
      <c r="GA17" s="64"/>
      <c r="GB17" s="64"/>
      <c r="GC17" s="64"/>
      <c r="GD17" s="64"/>
      <c r="GE17" s="64"/>
      <c r="GF17" s="64"/>
      <c r="GG17" s="64"/>
      <c r="GH17" s="64"/>
      <c r="GI17" s="64"/>
      <c r="GJ17" s="64"/>
      <c r="GK17" s="64"/>
      <c r="GL17" s="64"/>
      <c r="GM17" s="64"/>
      <c r="GN17" s="64"/>
      <c r="GO17" s="64"/>
      <c r="GP17" s="64"/>
      <c r="GQ17" s="64"/>
      <c r="GR17" s="64"/>
      <c r="GS17" s="64"/>
      <c r="GT17" s="64"/>
      <c r="GU17" s="64"/>
      <c r="GV17" s="64"/>
      <c r="GW17" s="64"/>
      <c r="GX17" s="64"/>
      <c r="GY17" s="64"/>
      <c r="GZ17" s="64"/>
      <c r="HA17" s="64"/>
      <c r="HB17" s="64"/>
      <c r="HC17" s="64"/>
      <c r="HD17" s="64"/>
      <c r="HE17" s="64"/>
      <c r="HF17" s="64"/>
      <c r="HG17" s="64"/>
      <c r="HH17" s="64"/>
      <c r="HI17" s="64"/>
      <c r="HJ17" s="64"/>
      <c r="HK17" s="64"/>
      <c r="HL17" s="64"/>
      <c r="HM17" s="64"/>
      <c r="HN17" s="64"/>
      <c r="HO17" s="64"/>
      <c r="HP17" s="64"/>
      <c r="HQ17" s="64"/>
      <c r="HR17" s="64"/>
      <c r="HS17" s="64"/>
      <c r="HT17" s="64"/>
      <c r="HU17" s="64"/>
      <c r="HV17" s="64"/>
      <c r="HW17" s="64"/>
      <c r="HX17" s="64"/>
      <c r="HY17" s="64"/>
      <c r="HZ17" s="64"/>
      <c r="IA17" s="64"/>
      <c r="IB17" s="64"/>
      <c r="IC17" s="64"/>
      <c r="ID17" s="64"/>
      <c r="IE17" s="64"/>
      <c r="IF17" s="64"/>
      <c r="IG17" s="64"/>
      <c r="IH17" s="64"/>
      <c r="II17" s="64"/>
      <c r="IJ17" s="64"/>
      <c r="IK17" s="64"/>
      <c r="IL17" s="64"/>
      <c r="IM17" s="64"/>
      <c r="IN17" s="64"/>
      <c r="IO17" s="64"/>
      <c r="IP17" s="64"/>
      <c r="IQ17" s="64"/>
      <c r="IR17" s="64"/>
      <c r="IS17" s="64"/>
      <c r="IT17" s="64"/>
    </row>
    <row r="18" spans="1:254" s="63" customFormat="1" ht="15" customHeight="1" x14ac:dyDescent="0.2">
      <c r="A18" s="237" t="s">
        <v>99</v>
      </c>
      <c r="B18" s="237"/>
      <c r="C18" s="237"/>
      <c r="D18" s="237"/>
      <c r="E18" s="237"/>
      <c r="F18" s="237"/>
      <c r="G18" s="237"/>
      <c r="H18" s="237"/>
      <c r="I18" s="91">
        <f ca="1">I13*I16</f>
        <v>3675325.2653683349</v>
      </c>
      <c r="J18" s="89" t="e">
        <f>J16*J13</f>
        <v>#REF!</v>
      </c>
    </row>
    <row r="19" spans="1:254" s="63" customFormat="1" ht="15" customHeight="1" x14ac:dyDescent="0.2">
      <c r="A19" s="234"/>
      <c r="B19" s="235"/>
      <c r="C19" s="235"/>
      <c r="D19" s="235"/>
      <c r="E19" s="235"/>
      <c r="F19" s="235"/>
      <c r="G19" s="235"/>
      <c r="H19" s="235"/>
      <c r="I19" s="235"/>
      <c r="J19" s="236"/>
    </row>
  </sheetData>
  <mergeCells count="12">
    <mergeCell ref="A19:J19"/>
    <mergeCell ref="A2:J2"/>
    <mergeCell ref="A15:J15"/>
    <mergeCell ref="A18:H18"/>
    <mergeCell ref="A14:J14"/>
    <mergeCell ref="A17:J17"/>
    <mergeCell ref="A12:J12"/>
    <mergeCell ref="A13:H13"/>
    <mergeCell ref="A16:H16"/>
    <mergeCell ref="A4:A5"/>
    <mergeCell ref="B4:B5"/>
    <mergeCell ref="A11:D11"/>
  </mergeCells>
  <printOptions horizontalCentered="1" verticalCentered="1"/>
  <pageMargins left="0.51181102362204722" right="0.51181102362204722" top="0.78740157480314965" bottom="0.78740157480314965" header="0.31496062992125984" footer="0.31496062992125984"/>
  <pageSetup paperSize="9" scale="55" orientation="portrait" horizontalDpi="360" verticalDpi="36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19A93F-8D94-4611-98C3-EED7F994EB7A}">
  <dimension ref="A1:D6"/>
  <sheetViews>
    <sheetView workbookViewId="0">
      <selection sqref="A1:D6"/>
    </sheetView>
  </sheetViews>
  <sheetFormatPr defaultRowHeight="15" x14ac:dyDescent="0.25"/>
  <cols>
    <col min="1" max="1" width="10.28515625" customWidth="1"/>
    <col min="2" max="2" width="19.85546875" customWidth="1"/>
    <col min="3" max="3" width="20.7109375" customWidth="1"/>
    <col min="4" max="4" width="17.85546875" customWidth="1"/>
  </cols>
  <sheetData>
    <row r="1" spans="1:4" ht="18.75" customHeight="1" x14ac:dyDescent="0.25">
      <c r="A1" s="267" t="s">
        <v>449</v>
      </c>
      <c r="B1" s="267"/>
      <c r="C1" s="267"/>
      <c r="D1" s="267"/>
    </row>
    <row r="2" spans="1:4" s="214" customFormat="1" ht="18.75" customHeight="1" x14ac:dyDescent="0.25">
      <c r="A2" s="218" t="s">
        <v>445</v>
      </c>
      <c r="B2" s="218" t="s">
        <v>446</v>
      </c>
      <c r="C2" s="218" t="s">
        <v>447</v>
      </c>
      <c r="D2" s="218" t="s">
        <v>448</v>
      </c>
    </row>
    <row r="3" spans="1:4" x14ac:dyDescent="0.25">
      <c r="A3" s="215">
        <v>45323</v>
      </c>
      <c r="B3" s="216">
        <v>127962.59</v>
      </c>
      <c r="C3" s="216">
        <v>133714.59</v>
      </c>
      <c r="D3" s="216">
        <f>C3-B3</f>
        <v>5752</v>
      </c>
    </row>
    <row r="4" spans="1:4" x14ac:dyDescent="0.25">
      <c r="A4" s="215">
        <v>45352</v>
      </c>
      <c r="B4" s="216">
        <f>B3</f>
        <v>127962.59</v>
      </c>
      <c r="C4" s="216">
        <v>133714.59</v>
      </c>
      <c r="D4" s="216">
        <f t="shared" ref="D4:D5" si="0">C4-B4</f>
        <v>5752</v>
      </c>
    </row>
    <row r="5" spans="1:4" x14ac:dyDescent="0.25">
      <c r="A5" s="215">
        <v>45383</v>
      </c>
      <c r="B5" s="216">
        <v>293126.84999999998</v>
      </c>
      <c r="C5" s="216">
        <v>306279.51</v>
      </c>
      <c r="D5" s="216">
        <f t="shared" si="0"/>
        <v>13152.660000000033</v>
      </c>
    </row>
    <row r="6" spans="1:4" x14ac:dyDescent="0.25">
      <c r="A6" s="266" t="s">
        <v>0</v>
      </c>
      <c r="B6" s="266"/>
      <c r="C6" s="266"/>
      <c r="D6" s="217">
        <f>SUM(D3:D5)</f>
        <v>24656.660000000033</v>
      </c>
    </row>
  </sheetData>
  <mergeCells count="2">
    <mergeCell ref="A6:C6"/>
    <mergeCell ref="A1:D1"/>
  </mergeCells>
  <pageMargins left="0.511811024" right="0.511811024" top="0.78740157499999996" bottom="0.78740157499999996" header="0.31496062000000002" footer="0.31496062000000002"/>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F104"/>
  <sheetViews>
    <sheetView showGridLines="0" view="pageBreakPreview" topLeftCell="A79" zoomScale="112" zoomScaleNormal="100" zoomScaleSheetLayoutView="112" workbookViewId="0">
      <selection activeCell="E80" sqref="E80"/>
    </sheetView>
  </sheetViews>
  <sheetFormatPr defaultRowHeight="12.75" x14ac:dyDescent="0.25"/>
  <cols>
    <col min="1" max="1" width="6.42578125" style="94" customWidth="1"/>
    <col min="2" max="2" width="2.7109375" style="94" customWidth="1"/>
    <col min="3" max="3" width="5" style="94" customWidth="1"/>
    <col min="4" max="4" width="29.5703125" style="94" customWidth="1"/>
    <col min="5" max="5" width="10.28515625" style="94" customWidth="1"/>
    <col min="6" max="6" width="8.7109375" style="94" customWidth="1"/>
    <col min="7" max="7" width="8.5703125" style="94" customWidth="1"/>
    <col min="8" max="8" width="7.42578125" style="94" customWidth="1"/>
    <col min="9" max="9" width="3.5703125" style="94" customWidth="1"/>
    <col min="10" max="10" width="1.85546875" style="94" customWidth="1"/>
    <col min="11" max="11" width="11.42578125" style="94" customWidth="1"/>
    <col min="12" max="12" width="3.5703125" style="94" customWidth="1"/>
    <col min="13" max="13" width="2.85546875" style="94" customWidth="1"/>
    <col min="14" max="14" width="9" style="94" customWidth="1"/>
    <col min="15" max="15" width="2.7109375" style="94" customWidth="1"/>
    <col min="16" max="16" width="0.7109375" style="94" customWidth="1"/>
    <col min="17" max="17" width="5.140625" style="94" customWidth="1"/>
    <col min="18" max="18" width="9.140625" style="94"/>
    <col min="19" max="19" width="13.7109375" style="94" customWidth="1"/>
    <col min="20" max="16384" width="9.140625" style="94"/>
  </cols>
  <sheetData>
    <row r="1" spans="1:17" ht="23.25" customHeight="1" thickBot="1" x14ac:dyDescent="0.3">
      <c r="A1" s="273" t="s">
        <v>124</v>
      </c>
      <c r="B1" s="273"/>
      <c r="C1" s="273"/>
      <c r="D1" s="273"/>
      <c r="E1" s="273"/>
      <c r="F1" s="273"/>
      <c r="G1" s="273"/>
      <c r="H1" s="273"/>
      <c r="I1" s="273"/>
      <c r="J1" s="273"/>
      <c r="K1" s="273"/>
      <c r="L1" s="273"/>
      <c r="M1" s="273"/>
      <c r="N1" s="273"/>
      <c r="O1" s="273"/>
      <c r="P1" s="273"/>
      <c r="Q1" s="273"/>
    </row>
    <row r="2" spans="1:17" s="95" customFormat="1" ht="27.75" customHeight="1" thickBot="1" x14ac:dyDescent="0.25">
      <c r="A2" s="274" t="s">
        <v>125</v>
      </c>
      <c r="B2" s="275"/>
      <c r="C2" s="275"/>
      <c r="D2" s="275"/>
      <c r="E2" s="275"/>
      <c r="F2" s="275"/>
      <c r="G2" s="275"/>
      <c r="H2" s="275"/>
      <c r="I2" s="275"/>
      <c r="J2" s="275"/>
      <c r="K2" s="275"/>
      <c r="L2" s="275"/>
      <c r="M2" s="275"/>
      <c r="N2" s="275"/>
      <c r="O2" s="275"/>
      <c r="P2" s="275"/>
      <c r="Q2" s="276"/>
    </row>
    <row r="3" spans="1:17" ht="45.75" customHeight="1" x14ac:dyDescent="0.25">
      <c r="A3" s="277" t="s">
        <v>405</v>
      </c>
      <c r="B3" s="278"/>
      <c r="C3" s="278"/>
      <c r="D3" s="278"/>
      <c r="E3" s="278"/>
      <c r="F3" s="278"/>
      <c r="G3" s="278"/>
      <c r="H3" s="278"/>
      <c r="I3" s="278"/>
      <c r="J3" s="278"/>
      <c r="K3" s="278"/>
      <c r="L3" s="278"/>
      <c r="M3" s="278"/>
      <c r="N3" s="278"/>
      <c r="O3" s="278"/>
      <c r="P3" s="278"/>
      <c r="Q3" s="278"/>
    </row>
    <row r="4" spans="1:17" ht="5.0999999999999996" customHeight="1" x14ac:dyDescent="0.25">
      <c r="A4" s="272"/>
      <c r="B4" s="272"/>
      <c r="C4" s="272"/>
      <c r="D4" s="272"/>
      <c r="E4" s="272"/>
      <c r="F4" s="272"/>
      <c r="G4" s="272"/>
      <c r="H4" s="272"/>
      <c r="I4" s="272"/>
      <c r="J4" s="272"/>
      <c r="K4" s="272"/>
      <c r="L4" s="272"/>
      <c r="M4" s="272"/>
      <c r="N4" s="272"/>
      <c r="O4" s="272"/>
      <c r="P4" s="272"/>
      <c r="Q4" s="272"/>
    </row>
    <row r="5" spans="1:17" s="96" customFormat="1" ht="20.100000000000001" customHeight="1" x14ac:dyDescent="0.2">
      <c r="A5" s="270" t="s">
        <v>406</v>
      </c>
      <c r="B5" s="270"/>
      <c r="C5" s="270"/>
      <c r="D5" s="270"/>
      <c r="E5" s="270"/>
      <c r="F5" s="270"/>
      <c r="G5" s="270"/>
      <c r="H5" s="270"/>
      <c r="I5" s="270"/>
      <c r="J5" s="270"/>
      <c r="K5" s="270"/>
      <c r="L5" s="270"/>
      <c r="M5" s="270"/>
      <c r="N5" s="270"/>
      <c r="O5" s="270"/>
      <c r="P5" s="270"/>
      <c r="Q5" s="270"/>
    </row>
    <row r="6" spans="1:17" ht="35.1" customHeight="1" x14ac:dyDescent="0.25">
      <c r="A6" s="272" t="s">
        <v>349</v>
      </c>
      <c r="B6" s="272"/>
      <c r="C6" s="272"/>
      <c r="D6" s="272"/>
      <c r="E6" s="272"/>
      <c r="F6" s="272"/>
      <c r="G6" s="272"/>
      <c r="H6" s="272"/>
      <c r="I6" s="272"/>
      <c r="J6" s="272"/>
      <c r="K6" s="272"/>
      <c r="L6" s="272"/>
      <c r="M6" s="272"/>
      <c r="N6" s="272"/>
      <c r="O6" s="272"/>
      <c r="P6" s="272"/>
      <c r="Q6" s="272"/>
    </row>
    <row r="7" spans="1:17" s="97" customFormat="1" ht="35.1" customHeight="1" x14ac:dyDescent="0.25">
      <c r="A7" s="268" t="s">
        <v>126</v>
      </c>
      <c r="B7" s="269"/>
      <c r="C7" s="269"/>
      <c r="D7" s="269"/>
      <c r="E7" s="269"/>
      <c r="F7" s="269"/>
      <c r="G7" s="269"/>
      <c r="H7" s="269"/>
      <c r="I7" s="269"/>
      <c r="J7" s="269"/>
      <c r="K7" s="269"/>
      <c r="L7" s="269"/>
      <c r="M7" s="269"/>
      <c r="N7" s="269"/>
      <c r="O7" s="269"/>
      <c r="P7" s="269"/>
      <c r="Q7" s="269"/>
    </row>
    <row r="8" spans="1:17" s="96" customFormat="1" ht="20.25" hidden="1" customHeight="1" x14ac:dyDescent="0.2">
      <c r="A8" s="270" t="s">
        <v>127</v>
      </c>
      <c r="B8" s="270"/>
      <c r="C8" s="270"/>
      <c r="D8" s="270"/>
      <c r="E8" s="270"/>
      <c r="F8" s="270"/>
      <c r="G8" s="270"/>
      <c r="H8" s="270"/>
      <c r="I8" s="270"/>
      <c r="J8" s="270"/>
      <c r="K8" s="270"/>
      <c r="L8" s="270"/>
      <c r="M8" s="270"/>
      <c r="N8" s="270"/>
      <c r="O8" s="270"/>
      <c r="P8" s="270"/>
      <c r="Q8" s="270"/>
    </row>
    <row r="9" spans="1:17" s="97" customFormat="1" ht="35.1" hidden="1" customHeight="1" x14ac:dyDescent="0.25">
      <c r="A9" s="271" t="s">
        <v>128</v>
      </c>
      <c r="B9" s="269"/>
      <c r="C9" s="269"/>
      <c r="D9" s="269"/>
      <c r="E9" s="269"/>
      <c r="F9" s="269"/>
      <c r="G9" s="269"/>
      <c r="H9" s="269"/>
      <c r="I9" s="269"/>
      <c r="J9" s="269"/>
      <c r="K9" s="269"/>
      <c r="L9" s="269"/>
      <c r="M9" s="269"/>
      <c r="N9" s="269"/>
      <c r="O9" s="269"/>
      <c r="P9" s="269"/>
      <c r="Q9" s="269"/>
    </row>
    <row r="10" spans="1:17" s="97" customFormat="1" ht="44.25" hidden="1" customHeight="1" x14ac:dyDescent="0.25">
      <c r="A10" s="269" t="s">
        <v>129</v>
      </c>
      <c r="B10" s="269"/>
      <c r="C10" s="269"/>
      <c r="D10" s="269"/>
      <c r="E10" s="269"/>
      <c r="F10" s="269"/>
      <c r="G10" s="269"/>
      <c r="H10" s="269"/>
      <c r="I10" s="269"/>
      <c r="J10" s="269"/>
      <c r="K10" s="269"/>
      <c r="L10" s="269"/>
      <c r="M10" s="269"/>
      <c r="N10" s="269"/>
      <c r="O10" s="269"/>
      <c r="P10" s="269"/>
      <c r="Q10" s="269"/>
    </row>
    <row r="11" spans="1:17" ht="5.0999999999999996" customHeight="1" thickBot="1" x14ac:dyDescent="0.3">
      <c r="A11" s="272"/>
      <c r="B11" s="272"/>
      <c r="C11" s="272"/>
      <c r="D11" s="272"/>
      <c r="E11" s="272"/>
      <c r="F11" s="272"/>
      <c r="G11" s="272"/>
      <c r="H11" s="272"/>
      <c r="I11" s="272"/>
      <c r="J11" s="272"/>
      <c r="K11" s="272"/>
      <c r="L11" s="272"/>
      <c r="M11" s="272"/>
      <c r="N11" s="272"/>
      <c r="O11" s="272"/>
      <c r="P11" s="272"/>
      <c r="Q11" s="272"/>
    </row>
    <row r="12" spans="1:17" s="96" customFormat="1" ht="20.100000000000001" hidden="1" customHeight="1" x14ac:dyDescent="0.2">
      <c r="A12" s="270" t="s">
        <v>217</v>
      </c>
      <c r="B12" s="270"/>
      <c r="C12" s="270"/>
      <c r="D12" s="270"/>
      <c r="E12" s="270"/>
      <c r="F12" s="270"/>
      <c r="G12" s="270"/>
      <c r="H12" s="270"/>
      <c r="I12" s="270"/>
      <c r="J12" s="270"/>
      <c r="K12" s="270"/>
      <c r="L12" s="270"/>
      <c r="M12" s="270"/>
      <c r="N12" s="270"/>
      <c r="O12" s="270"/>
      <c r="P12" s="270"/>
      <c r="Q12" s="270"/>
    </row>
    <row r="13" spans="1:17" ht="47.25" hidden="1" customHeight="1" x14ac:dyDescent="0.25">
      <c r="A13" s="280" t="s">
        <v>220</v>
      </c>
      <c r="B13" s="269"/>
      <c r="C13" s="269"/>
      <c r="D13" s="269"/>
      <c r="E13" s="269"/>
      <c r="F13" s="269"/>
      <c r="G13" s="269"/>
      <c r="H13" s="269"/>
      <c r="I13" s="269"/>
      <c r="J13" s="269"/>
      <c r="K13" s="269"/>
      <c r="L13" s="269"/>
      <c r="M13" s="269"/>
      <c r="N13" s="269"/>
      <c r="O13" s="269"/>
      <c r="P13" s="269"/>
      <c r="Q13" s="269"/>
    </row>
    <row r="14" spans="1:17" s="97" customFormat="1" ht="35.1" hidden="1" customHeight="1" x14ac:dyDescent="0.25">
      <c r="A14" s="268" t="s">
        <v>130</v>
      </c>
      <c r="B14" s="269"/>
      <c r="C14" s="269"/>
      <c r="D14" s="269"/>
      <c r="E14" s="269"/>
      <c r="F14" s="269"/>
      <c r="G14" s="269"/>
      <c r="H14" s="269"/>
      <c r="I14" s="269"/>
      <c r="J14" s="269"/>
      <c r="K14" s="269"/>
      <c r="L14" s="269"/>
      <c r="M14" s="269"/>
      <c r="N14" s="269"/>
      <c r="O14" s="269"/>
      <c r="P14" s="269"/>
      <c r="Q14" s="269"/>
    </row>
    <row r="15" spans="1:17" ht="5.0999999999999996" hidden="1" customHeight="1" x14ac:dyDescent="0.25">
      <c r="A15" s="272"/>
      <c r="B15" s="272"/>
      <c r="C15" s="272"/>
      <c r="D15" s="272"/>
      <c r="E15" s="272"/>
      <c r="F15" s="272"/>
      <c r="G15" s="272"/>
      <c r="H15" s="272"/>
      <c r="I15" s="272"/>
      <c r="J15" s="272"/>
      <c r="K15" s="272"/>
      <c r="L15" s="272"/>
      <c r="M15" s="272"/>
      <c r="N15" s="272"/>
      <c r="O15" s="272"/>
      <c r="P15" s="272"/>
      <c r="Q15" s="272"/>
    </row>
    <row r="16" spans="1:17" s="96" customFormat="1" ht="20.100000000000001" hidden="1" customHeight="1" x14ac:dyDescent="0.2">
      <c r="A16" s="281" t="s">
        <v>218</v>
      </c>
      <c r="B16" s="281"/>
      <c r="C16" s="281"/>
      <c r="D16" s="281"/>
      <c r="E16" s="281"/>
      <c r="F16" s="281"/>
      <c r="G16" s="281"/>
      <c r="H16" s="281"/>
      <c r="I16" s="281"/>
      <c r="J16" s="281"/>
      <c r="K16" s="281"/>
      <c r="L16" s="281"/>
      <c r="M16" s="281"/>
      <c r="N16" s="281"/>
      <c r="O16" s="281"/>
      <c r="P16" s="281"/>
      <c r="Q16" s="281"/>
    </row>
    <row r="17" spans="1:19" ht="38.25" hidden="1" customHeight="1" x14ac:dyDescent="0.25">
      <c r="A17" s="280" t="s">
        <v>219</v>
      </c>
      <c r="B17" s="269"/>
      <c r="C17" s="269"/>
      <c r="D17" s="269"/>
      <c r="E17" s="269"/>
      <c r="F17" s="269"/>
      <c r="G17" s="269"/>
      <c r="H17" s="269"/>
      <c r="I17" s="269"/>
      <c r="J17" s="269"/>
      <c r="K17" s="269"/>
      <c r="L17" s="269"/>
      <c r="M17" s="269"/>
      <c r="N17" s="269"/>
      <c r="O17" s="269"/>
      <c r="P17" s="269"/>
      <c r="Q17" s="269"/>
    </row>
    <row r="18" spans="1:19" ht="13.5" hidden="1" customHeight="1" x14ac:dyDescent="0.25">
      <c r="A18" s="269" t="s">
        <v>131</v>
      </c>
      <c r="B18" s="269"/>
      <c r="C18" s="269"/>
      <c r="D18" s="269"/>
      <c r="E18" s="269"/>
      <c r="F18" s="269"/>
      <c r="G18" s="269"/>
      <c r="H18" s="269"/>
      <c r="I18" s="269"/>
      <c r="J18" s="269"/>
      <c r="K18" s="269"/>
      <c r="L18" s="269"/>
      <c r="M18" s="269"/>
      <c r="N18" s="269"/>
      <c r="O18" s="269"/>
      <c r="P18" s="269"/>
      <c r="Q18" s="269"/>
    </row>
    <row r="19" spans="1:19" ht="35.1" hidden="1" customHeight="1" thickBot="1" x14ac:dyDescent="0.3">
      <c r="A19" s="268" t="s">
        <v>132</v>
      </c>
      <c r="B19" s="269"/>
      <c r="C19" s="269"/>
      <c r="D19" s="269"/>
      <c r="E19" s="269"/>
      <c r="F19" s="269"/>
      <c r="G19" s="269"/>
      <c r="H19" s="269"/>
      <c r="I19" s="269"/>
      <c r="J19" s="269"/>
      <c r="K19" s="269"/>
      <c r="L19" s="269"/>
      <c r="M19" s="269"/>
      <c r="N19" s="269"/>
      <c r="O19" s="269"/>
      <c r="P19" s="269"/>
      <c r="Q19" s="269"/>
    </row>
    <row r="20" spans="1:19" s="96" customFormat="1" ht="20.100000000000001" hidden="1" customHeight="1" x14ac:dyDescent="0.2">
      <c r="A20" s="279" t="s">
        <v>133</v>
      </c>
      <c r="B20" s="279"/>
      <c r="C20" s="279"/>
      <c r="D20" s="279"/>
      <c r="E20" s="279"/>
      <c r="F20" s="279"/>
      <c r="G20" s="279"/>
      <c r="H20" s="279"/>
      <c r="I20" s="279"/>
      <c r="J20" s="279"/>
      <c r="K20" s="279"/>
      <c r="L20" s="279"/>
      <c r="M20" s="279"/>
      <c r="N20" s="279"/>
      <c r="O20" s="279"/>
      <c r="P20" s="279"/>
      <c r="Q20" s="279"/>
    </row>
    <row r="21" spans="1:19" ht="36" hidden="1" customHeight="1" x14ac:dyDescent="0.25">
      <c r="A21" s="271" t="s">
        <v>134</v>
      </c>
      <c r="B21" s="269"/>
      <c r="C21" s="269"/>
      <c r="D21" s="269"/>
      <c r="E21" s="269"/>
      <c r="F21" s="269"/>
      <c r="G21" s="269"/>
      <c r="H21" s="269"/>
      <c r="I21" s="269"/>
      <c r="J21" s="269"/>
      <c r="K21" s="269"/>
      <c r="L21" s="269"/>
      <c r="M21" s="269"/>
      <c r="N21" s="269"/>
      <c r="O21" s="269"/>
      <c r="P21" s="269"/>
      <c r="Q21" s="269"/>
    </row>
    <row r="22" spans="1:19" s="97" customFormat="1" ht="68.25" hidden="1" customHeight="1" x14ac:dyDescent="0.25">
      <c r="A22" s="269" t="s">
        <v>135</v>
      </c>
      <c r="B22" s="269"/>
      <c r="C22" s="269"/>
      <c r="D22" s="269"/>
      <c r="E22" s="269"/>
      <c r="F22" s="269"/>
      <c r="G22" s="269"/>
      <c r="H22" s="269"/>
      <c r="I22" s="269"/>
      <c r="J22" s="269"/>
      <c r="K22" s="269"/>
      <c r="L22" s="269"/>
      <c r="M22" s="269"/>
      <c r="N22" s="269"/>
      <c r="O22" s="269"/>
      <c r="P22" s="269"/>
      <c r="Q22" s="269"/>
    </row>
    <row r="23" spans="1:19" ht="68.45" hidden="1" customHeight="1" x14ac:dyDescent="0.25">
      <c r="A23" s="271" t="s">
        <v>136</v>
      </c>
      <c r="B23" s="269"/>
      <c r="C23" s="269"/>
      <c r="D23" s="269"/>
      <c r="E23" s="269"/>
      <c r="F23" s="269"/>
      <c r="G23" s="269"/>
      <c r="H23" s="269"/>
      <c r="I23" s="269"/>
      <c r="J23" s="269"/>
      <c r="K23" s="269"/>
      <c r="L23" s="269"/>
      <c r="M23" s="269"/>
      <c r="N23" s="269"/>
      <c r="O23" s="269"/>
      <c r="P23" s="269"/>
      <c r="Q23" s="269"/>
    </row>
    <row r="24" spans="1:19" ht="46.5" hidden="1" customHeight="1" x14ac:dyDescent="0.25">
      <c r="A24" s="269" t="s">
        <v>137</v>
      </c>
      <c r="B24" s="269"/>
      <c r="C24" s="269"/>
      <c r="D24" s="269"/>
      <c r="E24" s="269"/>
      <c r="F24" s="269"/>
      <c r="G24" s="269"/>
      <c r="H24" s="269"/>
      <c r="I24" s="269"/>
      <c r="J24" s="269"/>
      <c r="K24" s="269"/>
      <c r="L24" s="269"/>
      <c r="M24" s="269"/>
      <c r="N24" s="269"/>
      <c r="O24" s="269"/>
      <c r="P24" s="269"/>
      <c r="Q24" s="269"/>
    </row>
    <row r="25" spans="1:19" ht="47.25" hidden="1" customHeight="1" x14ac:dyDescent="0.25">
      <c r="A25" s="271" t="s">
        <v>138</v>
      </c>
      <c r="B25" s="269"/>
      <c r="C25" s="269"/>
      <c r="D25" s="269"/>
      <c r="E25" s="269"/>
      <c r="F25" s="269"/>
      <c r="G25" s="269"/>
      <c r="H25" s="269"/>
      <c r="I25" s="269"/>
      <c r="J25" s="269"/>
      <c r="K25" s="269"/>
      <c r="L25" s="269"/>
      <c r="M25" s="269"/>
      <c r="N25" s="269"/>
      <c r="O25" s="269"/>
      <c r="P25" s="269"/>
      <c r="Q25" s="269"/>
    </row>
    <row r="26" spans="1:19" ht="27" hidden="1" customHeight="1" x14ac:dyDescent="0.25">
      <c r="A26" s="269" t="s">
        <v>139</v>
      </c>
      <c r="B26" s="269"/>
      <c r="C26" s="269"/>
      <c r="D26" s="269"/>
      <c r="E26" s="269"/>
      <c r="F26" s="269"/>
      <c r="G26" s="269"/>
      <c r="H26" s="269"/>
      <c r="I26" s="269"/>
      <c r="J26" s="269"/>
      <c r="K26" s="269"/>
      <c r="L26" s="269"/>
      <c r="M26" s="269"/>
      <c r="N26" s="269"/>
      <c r="O26" s="269"/>
      <c r="P26" s="269"/>
      <c r="Q26" s="269"/>
    </row>
    <row r="27" spans="1:19" ht="56.45" customHeight="1" thickBot="1" x14ac:dyDescent="0.3">
      <c r="A27" s="274" t="s">
        <v>140</v>
      </c>
      <c r="B27" s="275"/>
      <c r="C27" s="275"/>
      <c r="D27" s="275"/>
      <c r="E27" s="275"/>
      <c r="F27" s="275"/>
      <c r="G27" s="275"/>
      <c r="H27" s="275"/>
      <c r="I27" s="275"/>
      <c r="J27" s="275"/>
      <c r="K27" s="275"/>
      <c r="L27" s="275"/>
      <c r="M27" s="275"/>
      <c r="N27" s="275"/>
      <c r="O27" s="275"/>
      <c r="P27" s="275"/>
      <c r="Q27" s="276"/>
    </row>
    <row r="28" spans="1:19" ht="21.2" customHeight="1" x14ac:dyDescent="0.25">
      <c r="A28" s="286" t="s">
        <v>141</v>
      </c>
      <c r="B28" s="286"/>
      <c r="C28" s="286"/>
      <c r="D28" s="286"/>
      <c r="E28" s="286"/>
      <c r="F28" s="286"/>
      <c r="G28" s="286"/>
      <c r="H28" s="286"/>
      <c r="I28" s="286"/>
      <c r="J28" s="286"/>
      <c r="K28" s="286"/>
      <c r="L28" s="286"/>
      <c r="M28" s="286"/>
      <c r="N28" s="286"/>
      <c r="O28" s="286"/>
      <c r="P28" s="286"/>
      <c r="Q28" s="286"/>
    </row>
    <row r="29" spans="1:19" ht="67.5" customHeight="1" x14ac:dyDescent="0.25">
      <c r="A29" s="98" t="s">
        <v>142</v>
      </c>
      <c r="B29" s="282" t="s">
        <v>143</v>
      </c>
      <c r="C29" s="282"/>
      <c r="D29" s="282"/>
      <c r="E29" s="99">
        <v>8.3299999999999999E-2</v>
      </c>
      <c r="F29" s="283" t="s">
        <v>144</v>
      </c>
      <c r="G29" s="283"/>
      <c r="H29" s="283"/>
      <c r="I29" s="283"/>
      <c r="J29" s="283"/>
      <c r="K29" s="283"/>
      <c r="L29" s="283"/>
      <c r="M29" s="283"/>
      <c r="N29" s="283"/>
      <c r="O29" s="283"/>
      <c r="P29" s="283"/>
      <c r="Q29" s="283"/>
    </row>
    <row r="30" spans="1:19" ht="43.5" customHeight="1" x14ac:dyDescent="0.25">
      <c r="A30" s="98" t="s">
        <v>145</v>
      </c>
      <c r="B30" s="282" t="s">
        <v>341</v>
      </c>
      <c r="C30" s="282"/>
      <c r="D30" s="282"/>
      <c r="E30" s="99">
        <v>0.1111</v>
      </c>
      <c r="F30" s="283" t="s">
        <v>411</v>
      </c>
      <c r="G30" s="283"/>
      <c r="H30" s="283"/>
      <c r="I30" s="283"/>
      <c r="J30" s="283"/>
      <c r="K30" s="283"/>
      <c r="L30" s="283"/>
      <c r="M30" s="283"/>
      <c r="N30" s="283"/>
      <c r="O30" s="283"/>
      <c r="P30" s="283"/>
      <c r="Q30" s="283"/>
      <c r="S30" s="94">
        <f>(1/12)+(1/12/3)</f>
        <v>0.1111111111111111</v>
      </c>
    </row>
    <row r="31" spans="1:19" s="102" customFormat="1" ht="24" customHeight="1" x14ac:dyDescent="0.25">
      <c r="A31" s="100"/>
      <c r="B31" s="284" t="s">
        <v>61</v>
      </c>
      <c r="C31" s="284"/>
      <c r="D31" s="284"/>
      <c r="E31" s="101">
        <f>SUM(E29:E30)</f>
        <v>0.19440000000000002</v>
      </c>
      <c r="F31" s="283"/>
      <c r="G31" s="283"/>
      <c r="H31" s="283"/>
      <c r="I31" s="283"/>
      <c r="J31" s="283"/>
      <c r="K31" s="283"/>
      <c r="L31" s="283"/>
      <c r="M31" s="283"/>
      <c r="N31" s="283"/>
      <c r="O31" s="283"/>
      <c r="P31" s="283"/>
      <c r="Q31" s="283"/>
    </row>
    <row r="32" spans="1:19" s="102" customFormat="1" ht="47.25" customHeight="1" x14ac:dyDescent="0.25">
      <c r="A32" s="100" t="s">
        <v>146</v>
      </c>
      <c r="B32" s="284" t="s">
        <v>147</v>
      </c>
      <c r="C32" s="284"/>
      <c r="D32" s="284"/>
      <c r="E32" s="101">
        <f>E31*E45</f>
        <v>6.8623200000000009E-2</v>
      </c>
      <c r="F32" s="283" t="s">
        <v>148</v>
      </c>
      <c r="G32" s="283"/>
      <c r="H32" s="283"/>
      <c r="I32" s="283"/>
      <c r="J32" s="283"/>
      <c r="K32" s="283"/>
      <c r="L32" s="283"/>
      <c r="M32" s="283"/>
      <c r="N32" s="283"/>
      <c r="O32" s="283"/>
      <c r="P32" s="283"/>
      <c r="Q32" s="283"/>
    </row>
    <row r="33" spans="1:17" s="102" customFormat="1" ht="15" customHeight="1" x14ac:dyDescent="0.25">
      <c r="A33" s="285" t="s">
        <v>0</v>
      </c>
      <c r="B33" s="285"/>
      <c r="C33" s="285"/>
      <c r="D33" s="285"/>
      <c r="E33" s="183">
        <f>SUM(E31:E32)</f>
        <v>0.26302320000000001</v>
      </c>
      <c r="F33" s="285"/>
      <c r="G33" s="285"/>
      <c r="H33" s="285"/>
      <c r="I33" s="285"/>
      <c r="J33" s="285"/>
      <c r="K33" s="285"/>
      <c r="L33" s="285"/>
      <c r="M33" s="285"/>
      <c r="N33" s="285"/>
      <c r="O33" s="285"/>
      <c r="P33" s="285"/>
      <c r="Q33" s="285"/>
    </row>
    <row r="34" spans="1:17" s="102" customFormat="1" ht="5.25" customHeight="1" x14ac:dyDescent="0.25">
      <c r="A34" s="287"/>
      <c r="B34" s="287"/>
      <c r="C34" s="287"/>
      <c r="D34" s="287"/>
      <c r="E34" s="287"/>
      <c r="F34" s="287"/>
      <c r="G34" s="287"/>
      <c r="H34" s="287"/>
      <c r="I34" s="287"/>
      <c r="J34" s="287"/>
      <c r="K34" s="287"/>
      <c r="L34" s="287"/>
      <c r="M34" s="287"/>
      <c r="N34" s="287"/>
      <c r="O34" s="287"/>
      <c r="P34" s="287"/>
      <c r="Q34" s="287"/>
    </row>
    <row r="35" spans="1:17" s="102" customFormat="1" ht="33.75" customHeight="1" x14ac:dyDescent="0.25">
      <c r="A35" s="288" t="s">
        <v>149</v>
      </c>
      <c r="B35" s="289"/>
      <c r="C35" s="289"/>
      <c r="D35" s="289"/>
      <c r="E35" s="289"/>
      <c r="F35" s="289"/>
      <c r="G35" s="289"/>
      <c r="H35" s="289"/>
      <c r="I35" s="289"/>
      <c r="J35" s="289"/>
      <c r="K35" s="289"/>
      <c r="L35" s="289"/>
      <c r="M35" s="289"/>
      <c r="N35" s="289"/>
      <c r="O35" s="289"/>
      <c r="P35" s="289"/>
      <c r="Q35" s="289"/>
    </row>
    <row r="36" spans="1:17" s="102" customFormat="1" ht="18.75" customHeight="1" x14ac:dyDescent="0.25">
      <c r="A36" s="285" t="s">
        <v>150</v>
      </c>
      <c r="B36" s="285"/>
      <c r="C36" s="285"/>
      <c r="D36" s="285"/>
      <c r="E36" s="285"/>
      <c r="F36" s="285"/>
      <c r="G36" s="285"/>
      <c r="H36" s="285"/>
      <c r="I36" s="285"/>
      <c r="J36" s="285"/>
      <c r="K36" s="285"/>
      <c r="L36" s="285"/>
      <c r="M36" s="285"/>
      <c r="N36" s="285"/>
      <c r="O36" s="285"/>
      <c r="P36" s="285"/>
      <c r="Q36" s="285"/>
    </row>
    <row r="37" spans="1:17" s="102" customFormat="1" ht="21" customHeight="1" x14ac:dyDescent="0.25">
      <c r="A37" s="100" t="s">
        <v>142</v>
      </c>
      <c r="B37" s="284" t="s">
        <v>151</v>
      </c>
      <c r="C37" s="284"/>
      <c r="D37" s="284"/>
      <c r="E37" s="101">
        <v>0.2</v>
      </c>
      <c r="F37" s="283" t="s">
        <v>152</v>
      </c>
      <c r="G37" s="283"/>
      <c r="H37" s="283"/>
      <c r="I37" s="283"/>
      <c r="J37" s="283"/>
      <c r="K37" s="283"/>
      <c r="L37" s="283"/>
      <c r="M37" s="283"/>
      <c r="N37" s="283"/>
      <c r="O37" s="283"/>
      <c r="P37" s="283"/>
      <c r="Q37" s="283"/>
    </row>
    <row r="38" spans="1:17" s="102" customFormat="1" ht="29.25" customHeight="1" x14ac:dyDescent="0.25">
      <c r="A38" s="100" t="s">
        <v>145</v>
      </c>
      <c r="B38" s="284" t="s">
        <v>153</v>
      </c>
      <c r="C38" s="284"/>
      <c r="D38" s="284"/>
      <c r="E38" s="101">
        <v>2.5000000000000001E-2</v>
      </c>
      <c r="F38" s="283" t="s">
        <v>154</v>
      </c>
      <c r="G38" s="283"/>
      <c r="H38" s="283"/>
      <c r="I38" s="283"/>
      <c r="J38" s="283"/>
      <c r="K38" s="283"/>
      <c r="L38" s="283"/>
      <c r="M38" s="283"/>
      <c r="N38" s="283"/>
      <c r="O38" s="283"/>
      <c r="P38" s="283"/>
      <c r="Q38" s="283"/>
    </row>
    <row r="39" spans="1:17" s="102" customFormat="1" ht="47.25" customHeight="1" x14ac:dyDescent="0.25">
      <c r="A39" s="100" t="s">
        <v>146</v>
      </c>
      <c r="B39" s="284" t="s">
        <v>155</v>
      </c>
      <c r="C39" s="284"/>
      <c r="D39" s="284"/>
      <c r="E39" s="101">
        <v>1.4999999999999999E-2</v>
      </c>
      <c r="F39" s="283" t="s">
        <v>156</v>
      </c>
      <c r="G39" s="283"/>
      <c r="H39" s="283"/>
      <c r="I39" s="283"/>
      <c r="J39" s="283"/>
      <c r="K39" s="283"/>
      <c r="L39" s="283"/>
      <c r="M39" s="283"/>
      <c r="N39" s="283"/>
      <c r="O39" s="283"/>
      <c r="P39" s="283"/>
      <c r="Q39" s="283"/>
    </row>
    <row r="40" spans="1:17" s="102" customFormat="1" ht="33.75" customHeight="1" x14ac:dyDescent="0.25">
      <c r="A40" s="100" t="s">
        <v>157</v>
      </c>
      <c r="B40" s="284" t="s">
        <v>158</v>
      </c>
      <c r="C40" s="284"/>
      <c r="D40" s="284"/>
      <c r="E40" s="101">
        <v>0.01</v>
      </c>
      <c r="F40" s="283" t="s">
        <v>159</v>
      </c>
      <c r="G40" s="283"/>
      <c r="H40" s="283"/>
      <c r="I40" s="283"/>
      <c r="J40" s="283"/>
      <c r="K40" s="283"/>
      <c r="L40" s="283"/>
      <c r="M40" s="283"/>
      <c r="N40" s="283"/>
      <c r="O40" s="283"/>
      <c r="P40" s="283"/>
      <c r="Q40" s="283"/>
    </row>
    <row r="41" spans="1:17" s="102" customFormat="1" ht="21.75" customHeight="1" x14ac:dyDescent="0.25">
      <c r="A41" s="100" t="s">
        <v>160</v>
      </c>
      <c r="B41" s="284" t="s">
        <v>161</v>
      </c>
      <c r="C41" s="284"/>
      <c r="D41" s="284"/>
      <c r="E41" s="101">
        <v>1.4999999999999999E-2</v>
      </c>
      <c r="F41" s="283" t="s">
        <v>162</v>
      </c>
      <c r="G41" s="283"/>
      <c r="H41" s="283"/>
      <c r="I41" s="283"/>
      <c r="J41" s="283"/>
      <c r="K41" s="283"/>
      <c r="L41" s="283"/>
      <c r="M41" s="283"/>
      <c r="N41" s="283"/>
      <c r="O41" s="283"/>
      <c r="P41" s="283"/>
      <c r="Q41" s="283"/>
    </row>
    <row r="42" spans="1:17" s="102" customFormat="1" ht="24" customHeight="1" x14ac:dyDescent="0.25">
      <c r="A42" s="100" t="s">
        <v>163</v>
      </c>
      <c r="B42" s="284" t="s">
        <v>164</v>
      </c>
      <c r="C42" s="284"/>
      <c r="D42" s="284"/>
      <c r="E42" s="101">
        <v>6.0000000000000001E-3</v>
      </c>
      <c r="F42" s="283" t="s">
        <v>165</v>
      </c>
      <c r="G42" s="283"/>
      <c r="H42" s="283"/>
      <c r="I42" s="283"/>
      <c r="J42" s="283"/>
      <c r="K42" s="283"/>
      <c r="L42" s="283"/>
      <c r="M42" s="283"/>
      <c r="N42" s="283"/>
      <c r="O42" s="283"/>
      <c r="P42" s="283"/>
      <c r="Q42" s="283"/>
    </row>
    <row r="43" spans="1:17" s="102" customFormat="1" ht="24" customHeight="1" x14ac:dyDescent="0.25">
      <c r="A43" s="100" t="s">
        <v>166</v>
      </c>
      <c r="B43" s="284" t="s">
        <v>167</v>
      </c>
      <c r="C43" s="284"/>
      <c r="D43" s="284"/>
      <c r="E43" s="101">
        <v>2E-3</v>
      </c>
      <c r="F43" s="283" t="s">
        <v>168</v>
      </c>
      <c r="G43" s="283"/>
      <c r="H43" s="283"/>
      <c r="I43" s="283"/>
      <c r="J43" s="283"/>
      <c r="K43" s="283"/>
      <c r="L43" s="283"/>
      <c r="M43" s="283"/>
      <c r="N43" s="283"/>
      <c r="O43" s="283"/>
      <c r="P43" s="283"/>
      <c r="Q43" s="283"/>
    </row>
    <row r="44" spans="1:17" s="102" customFormat="1" ht="41.25" customHeight="1" x14ac:dyDescent="0.25">
      <c r="A44" s="100" t="s">
        <v>169</v>
      </c>
      <c r="B44" s="284" t="s">
        <v>170</v>
      </c>
      <c r="C44" s="284"/>
      <c r="D44" s="284"/>
      <c r="E44" s="101">
        <v>0.08</v>
      </c>
      <c r="F44" s="283" t="s">
        <v>171</v>
      </c>
      <c r="G44" s="283"/>
      <c r="H44" s="283"/>
      <c r="I44" s="283"/>
      <c r="J44" s="283"/>
      <c r="K44" s="283"/>
      <c r="L44" s="283"/>
      <c r="M44" s="283"/>
      <c r="N44" s="283"/>
      <c r="O44" s="283"/>
      <c r="P44" s="283"/>
      <c r="Q44" s="283"/>
    </row>
    <row r="45" spans="1:17" s="102" customFormat="1" ht="15" customHeight="1" x14ac:dyDescent="0.25">
      <c r="A45" s="285" t="s">
        <v>0</v>
      </c>
      <c r="B45" s="285"/>
      <c r="C45" s="285"/>
      <c r="D45" s="285"/>
      <c r="E45" s="183">
        <f>SUM(E37:E44)</f>
        <v>0.35300000000000004</v>
      </c>
      <c r="F45" s="284" t="s">
        <v>172</v>
      </c>
      <c r="G45" s="284"/>
      <c r="H45" s="284"/>
      <c r="I45" s="284"/>
      <c r="J45" s="284"/>
      <c r="K45" s="284"/>
      <c r="L45" s="284"/>
      <c r="M45" s="284"/>
      <c r="N45" s="284"/>
      <c r="O45" s="284"/>
      <c r="P45" s="284"/>
      <c r="Q45" s="284"/>
    </row>
    <row r="46" spans="1:17" s="102" customFormat="1" ht="2.1" customHeight="1" x14ac:dyDescent="0.25">
      <c r="A46" s="104"/>
      <c r="B46" s="104"/>
      <c r="C46" s="104"/>
      <c r="D46" s="104"/>
      <c r="E46" s="105"/>
      <c r="F46" s="106"/>
      <c r="G46" s="106"/>
      <c r="H46" s="106"/>
      <c r="I46" s="106"/>
      <c r="J46" s="106"/>
      <c r="K46" s="106"/>
      <c r="L46" s="106"/>
      <c r="M46" s="106"/>
      <c r="N46" s="106"/>
      <c r="O46" s="106"/>
      <c r="P46" s="106"/>
      <c r="Q46" s="106"/>
    </row>
    <row r="47" spans="1:17" s="102" customFormat="1" ht="24.75" customHeight="1" x14ac:dyDescent="0.25">
      <c r="A47" s="287" t="s">
        <v>173</v>
      </c>
      <c r="B47" s="290"/>
      <c r="C47" s="290"/>
      <c r="D47" s="290"/>
      <c r="E47" s="290"/>
      <c r="F47" s="290"/>
      <c r="G47" s="290"/>
      <c r="H47" s="290"/>
      <c r="I47" s="290"/>
      <c r="J47" s="290"/>
      <c r="K47" s="290"/>
      <c r="L47" s="290"/>
      <c r="M47" s="290"/>
      <c r="N47" s="290"/>
      <c r="O47" s="290"/>
      <c r="P47" s="290"/>
      <c r="Q47" s="290"/>
    </row>
    <row r="48" spans="1:17" s="102" customFormat="1" ht="21" customHeight="1" x14ac:dyDescent="0.25">
      <c r="A48" s="291" t="s">
        <v>174</v>
      </c>
      <c r="B48" s="291"/>
      <c r="C48" s="291"/>
      <c r="D48" s="291"/>
      <c r="E48" s="291"/>
      <c r="F48" s="291"/>
      <c r="G48" s="291"/>
      <c r="H48" s="291"/>
      <c r="I48" s="291"/>
      <c r="J48" s="291"/>
      <c r="K48" s="291"/>
      <c r="L48" s="291"/>
      <c r="M48" s="291"/>
      <c r="N48" s="291"/>
      <c r="O48" s="291"/>
      <c r="P48" s="291"/>
      <c r="Q48" s="291"/>
    </row>
    <row r="49" spans="1:18" s="107" customFormat="1" ht="18.95" customHeight="1" x14ac:dyDescent="0.25">
      <c r="A49" s="292" t="s">
        <v>175</v>
      </c>
      <c r="B49" s="293"/>
      <c r="C49" s="293"/>
      <c r="D49" s="293"/>
      <c r="E49" s="293"/>
      <c r="F49" s="293"/>
      <c r="G49" s="293"/>
      <c r="H49" s="293"/>
      <c r="I49" s="293"/>
      <c r="J49" s="293"/>
      <c r="K49" s="293"/>
      <c r="L49" s="293"/>
      <c r="M49" s="293"/>
      <c r="N49" s="293"/>
      <c r="O49" s="293"/>
      <c r="P49" s="293"/>
      <c r="Q49" s="293"/>
    </row>
    <row r="50" spans="1:18" s="107" customFormat="1" ht="15" customHeight="1" x14ac:dyDescent="0.25">
      <c r="A50" s="285" t="s">
        <v>182</v>
      </c>
      <c r="B50" s="285"/>
      <c r="C50" s="285"/>
      <c r="D50" s="297" t="s">
        <v>178</v>
      </c>
      <c r="E50" s="297"/>
      <c r="F50" s="297"/>
      <c r="G50" s="155">
        <v>13</v>
      </c>
      <c r="H50" s="297" t="str">
        <f>'[1]Anexo VI'!F15</f>
        <v>R$ 5,50</v>
      </c>
      <c r="I50" s="297"/>
      <c r="J50" s="297"/>
      <c r="K50" s="297"/>
      <c r="L50" s="298">
        <f>G50*H50</f>
        <v>71.5</v>
      </c>
      <c r="M50" s="299"/>
      <c r="N50" s="299"/>
      <c r="O50" s="299"/>
      <c r="P50" s="299"/>
      <c r="Q50" s="300"/>
    </row>
    <row r="51" spans="1:18" s="107" customFormat="1" ht="15" customHeight="1" x14ac:dyDescent="0.25">
      <c r="A51" s="285"/>
      <c r="B51" s="285"/>
      <c r="C51" s="285"/>
      <c r="D51" s="297" t="s">
        <v>179</v>
      </c>
      <c r="E51" s="297"/>
      <c r="F51" s="297"/>
      <c r="G51" s="155">
        <v>13</v>
      </c>
      <c r="H51" s="297" t="str">
        <f>'[1]Anexo VI'!F16</f>
        <v>R$ 5,50</v>
      </c>
      <c r="I51" s="297"/>
      <c r="J51" s="297"/>
      <c r="K51" s="297"/>
      <c r="L51" s="298">
        <f>G51*H51</f>
        <v>71.5</v>
      </c>
      <c r="M51" s="299"/>
      <c r="N51" s="299"/>
      <c r="O51" s="299"/>
      <c r="P51" s="299"/>
      <c r="Q51" s="300"/>
    </row>
    <row r="52" spans="1:18" s="107" customFormat="1" ht="15" customHeight="1" x14ac:dyDescent="0.25">
      <c r="A52" s="294" t="s">
        <v>180</v>
      </c>
      <c r="B52" s="294"/>
      <c r="C52" s="294"/>
      <c r="D52" s="294"/>
      <c r="E52" s="294"/>
      <c r="F52" s="294"/>
      <c r="G52" s="294"/>
      <c r="H52" s="294"/>
      <c r="I52" s="294"/>
      <c r="J52" s="294"/>
      <c r="K52" s="294"/>
      <c r="L52" s="295">
        <f>SUM(L50:Q51)</f>
        <v>143</v>
      </c>
      <c r="M52" s="294"/>
      <c r="N52" s="294"/>
      <c r="O52" s="294"/>
      <c r="P52" s="294"/>
      <c r="Q52" s="294"/>
    </row>
    <row r="53" spans="1:18" s="107" customFormat="1" ht="15" customHeight="1" x14ac:dyDescent="0.25">
      <c r="A53" s="294" t="s">
        <v>181</v>
      </c>
      <c r="B53" s="294"/>
      <c r="C53" s="294"/>
      <c r="D53" s="294"/>
      <c r="E53" s="294"/>
      <c r="F53" s="294"/>
      <c r="G53" s="294"/>
      <c r="H53" s="294"/>
      <c r="I53" s="294"/>
      <c r="J53" s="294"/>
      <c r="K53" s="294"/>
      <c r="L53" s="296">
        <f>3494.54*-6%</f>
        <v>-209.67239999999998</v>
      </c>
      <c r="M53" s="296"/>
      <c r="N53" s="296"/>
      <c r="O53" s="296"/>
      <c r="P53" s="296"/>
      <c r="Q53" s="296"/>
    </row>
    <row r="54" spans="1:18" s="107" customFormat="1" ht="15" customHeight="1" x14ac:dyDescent="0.25">
      <c r="A54" s="294" t="s">
        <v>408</v>
      </c>
      <c r="B54" s="294"/>
      <c r="C54" s="294"/>
      <c r="D54" s="294"/>
      <c r="E54" s="294"/>
      <c r="F54" s="294"/>
      <c r="G54" s="294"/>
      <c r="H54" s="294"/>
      <c r="I54" s="294"/>
      <c r="J54" s="294"/>
      <c r="K54" s="294"/>
      <c r="L54" s="296">
        <f>L52+L53</f>
        <v>-66.672399999999982</v>
      </c>
      <c r="M54" s="294"/>
      <c r="N54" s="294"/>
      <c r="O54" s="294"/>
      <c r="P54" s="294"/>
      <c r="Q54" s="294"/>
    </row>
    <row r="55" spans="1:18" s="102" customFormat="1" ht="15" customHeight="1" x14ac:dyDescent="0.25">
      <c r="A55" s="284" t="s">
        <v>183</v>
      </c>
      <c r="B55" s="305"/>
      <c r="C55" s="305"/>
      <c r="D55" s="305"/>
      <c r="E55" s="305"/>
      <c r="F55" s="305"/>
      <c r="G55" s="305"/>
      <c r="H55" s="305"/>
      <c r="I55" s="305"/>
      <c r="J55" s="305"/>
      <c r="K55" s="305"/>
      <c r="L55" s="305"/>
      <c r="M55" s="305"/>
      <c r="N55" s="305"/>
      <c r="O55" s="305"/>
      <c r="P55" s="305"/>
      <c r="Q55" s="305"/>
    </row>
    <row r="56" spans="1:18" s="102" customFormat="1" ht="24.95" customHeight="1" x14ac:dyDescent="0.25">
      <c r="A56" s="285" t="s">
        <v>407</v>
      </c>
      <c r="B56" s="285"/>
      <c r="C56" s="285"/>
      <c r="D56" s="285"/>
      <c r="E56" s="285"/>
      <c r="F56" s="285"/>
      <c r="G56" s="285"/>
      <c r="H56" s="285"/>
      <c r="I56" s="285"/>
      <c r="J56" s="285"/>
      <c r="K56" s="285"/>
      <c r="L56" s="285"/>
      <c r="M56" s="285"/>
      <c r="N56" s="285"/>
      <c r="O56" s="285"/>
      <c r="P56" s="285"/>
      <c r="Q56" s="285"/>
    </row>
    <row r="57" spans="1:18" ht="5.0999999999999996" customHeight="1" x14ac:dyDescent="0.25">
      <c r="A57" s="306"/>
      <c r="B57" s="306"/>
      <c r="C57" s="306"/>
      <c r="D57" s="306"/>
      <c r="E57" s="306"/>
      <c r="F57" s="306"/>
      <c r="G57" s="306"/>
      <c r="H57" s="306"/>
      <c r="I57" s="306"/>
      <c r="J57" s="306"/>
      <c r="K57" s="306"/>
      <c r="L57" s="306"/>
      <c r="M57" s="306"/>
      <c r="N57" s="306"/>
      <c r="O57" s="306"/>
      <c r="P57" s="306"/>
      <c r="Q57" s="306"/>
    </row>
    <row r="58" spans="1:18" s="108" customFormat="1" ht="16.5" customHeight="1" x14ac:dyDescent="0.25">
      <c r="A58" s="294" t="s">
        <v>184</v>
      </c>
      <c r="B58" s="294"/>
      <c r="C58" s="294"/>
      <c r="D58" s="294"/>
      <c r="E58" s="294"/>
      <c r="F58" s="294"/>
      <c r="G58" s="294"/>
      <c r="H58" s="294"/>
      <c r="I58" s="294"/>
      <c r="J58" s="294"/>
      <c r="K58" s="294"/>
      <c r="L58" s="294"/>
      <c r="M58" s="294"/>
      <c r="N58" s="294"/>
      <c r="O58" s="294"/>
      <c r="P58" s="294"/>
      <c r="Q58" s="294"/>
    </row>
    <row r="59" spans="1:18" s="108" customFormat="1" ht="13.5" customHeight="1" x14ac:dyDescent="0.25">
      <c r="A59" s="307" t="s">
        <v>185</v>
      </c>
      <c r="B59" s="307"/>
      <c r="C59" s="307"/>
      <c r="D59" s="307"/>
      <c r="E59" s="307"/>
      <c r="F59" s="307"/>
      <c r="G59" s="307"/>
      <c r="H59" s="307"/>
      <c r="I59" s="307"/>
      <c r="J59" s="307"/>
      <c r="K59" s="307"/>
      <c r="L59" s="307"/>
      <c r="M59" s="307"/>
      <c r="N59" s="307"/>
      <c r="O59" s="307"/>
      <c r="P59" s="307"/>
      <c r="Q59" s="307"/>
    </row>
    <row r="60" spans="1:18" s="108" customFormat="1" ht="13.5" customHeight="1" x14ac:dyDescent="0.25">
      <c r="A60" s="109" t="s">
        <v>91</v>
      </c>
      <c r="B60" s="308" t="s">
        <v>186</v>
      </c>
      <c r="C60" s="308"/>
      <c r="D60" s="308" t="s">
        <v>122</v>
      </c>
      <c r="E60" s="308"/>
      <c r="F60" s="109" t="s">
        <v>176</v>
      </c>
      <c r="G60" s="308" t="s">
        <v>177</v>
      </c>
      <c r="H60" s="308"/>
      <c r="I60" s="309" t="s">
        <v>342</v>
      </c>
      <c r="J60" s="302"/>
      <c r="K60" s="302"/>
      <c r="L60" s="309" t="s">
        <v>187</v>
      </c>
      <c r="M60" s="309"/>
      <c r="N60" s="309"/>
      <c r="O60" s="309"/>
      <c r="P60" s="309"/>
      <c r="Q60" s="309"/>
    </row>
    <row r="61" spans="1:18" s="108" customFormat="1" ht="13.5" customHeight="1" x14ac:dyDescent="0.25">
      <c r="A61" s="110">
        <v>1</v>
      </c>
      <c r="B61" s="301">
        <v>13</v>
      </c>
      <c r="C61" s="301"/>
      <c r="D61" s="302" t="s">
        <v>188</v>
      </c>
      <c r="E61" s="302"/>
      <c r="F61" s="156">
        <v>43.62</v>
      </c>
      <c r="G61" s="303">
        <f>F61*B61</f>
        <v>567.05999999999995</v>
      </c>
      <c r="H61" s="303"/>
      <c r="I61" s="303">
        <f>-0.3*B61</f>
        <v>-3.9</v>
      </c>
      <c r="J61" s="303"/>
      <c r="K61" s="303"/>
      <c r="L61" s="304">
        <f>G61+I61</f>
        <v>563.16</v>
      </c>
      <c r="M61" s="304"/>
      <c r="N61" s="304"/>
      <c r="O61" s="304"/>
      <c r="P61" s="304"/>
      <c r="Q61" s="304"/>
      <c r="R61" s="152"/>
    </row>
    <row r="62" spans="1:18" s="108" customFormat="1" ht="29.25" customHeight="1" x14ac:dyDescent="0.25">
      <c r="A62" s="323" t="s">
        <v>350</v>
      </c>
      <c r="B62" s="324"/>
      <c r="C62" s="324"/>
      <c r="D62" s="324"/>
      <c r="E62" s="324"/>
      <c r="F62" s="324"/>
      <c r="G62" s="324"/>
      <c r="H62" s="324"/>
      <c r="I62" s="324"/>
      <c r="J62" s="324"/>
      <c r="K62" s="324"/>
      <c r="L62" s="324"/>
      <c r="M62" s="324"/>
      <c r="N62" s="324"/>
      <c r="O62" s="324"/>
      <c r="P62" s="324"/>
      <c r="Q62" s="325"/>
    </row>
    <row r="63" spans="1:18" s="108" customFormat="1" ht="13.5" customHeight="1" x14ac:dyDescent="0.25">
      <c r="A63" s="311" t="s">
        <v>189</v>
      </c>
      <c r="B63" s="312"/>
      <c r="C63" s="312"/>
      <c r="D63" s="312"/>
      <c r="E63" s="312"/>
      <c r="F63" s="312"/>
      <c r="G63" s="312"/>
      <c r="H63" s="312"/>
      <c r="I63" s="312"/>
      <c r="J63" s="312"/>
      <c r="K63" s="312"/>
      <c r="L63" s="312"/>
      <c r="M63" s="312"/>
      <c r="N63" s="312"/>
      <c r="O63" s="312"/>
      <c r="P63" s="312"/>
      <c r="Q63" s="313"/>
    </row>
    <row r="64" spans="1:18" s="107" customFormat="1" ht="18" customHeight="1" x14ac:dyDescent="0.25">
      <c r="A64" s="314" t="s">
        <v>190</v>
      </c>
      <c r="B64" s="315"/>
      <c r="C64" s="315"/>
      <c r="D64" s="315"/>
      <c r="E64" s="315"/>
      <c r="F64" s="318"/>
      <c r="G64" s="318"/>
      <c r="H64" s="318"/>
      <c r="I64" s="318"/>
      <c r="J64" s="318"/>
      <c r="K64" s="318"/>
      <c r="L64" s="318"/>
      <c r="M64" s="318"/>
      <c r="N64" s="318"/>
      <c r="O64" s="318"/>
      <c r="P64" s="318"/>
      <c r="Q64" s="319"/>
    </row>
    <row r="65" spans="1:32" s="108" customFormat="1" ht="16.5" customHeight="1" x14ac:dyDescent="0.25">
      <c r="A65" s="320" t="s">
        <v>351</v>
      </c>
      <c r="B65" s="321"/>
      <c r="C65" s="321"/>
      <c r="D65" s="321"/>
      <c r="E65" s="321"/>
      <c r="F65" s="321"/>
      <c r="G65" s="321"/>
      <c r="H65" s="321"/>
      <c r="I65" s="321"/>
      <c r="J65" s="321"/>
      <c r="K65" s="321"/>
      <c r="L65" s="321"/>
      <c r="M65" s="321"/>
      <c r="N65" s="321"/>
      <c r="O65" s="321"/>
      <c r="P65" s="321"/>
      <c r="Q65" s="322"/>
    </row>
    <row r="66" spans="1:32" s="108" customFormat="1" ht="3.75" customHeight="1" x14ac:dyDescent="0.25">
      <c r="A66" s="310"/>
      <c r="B66" s="310"/>
      <c r="C66" s="310"/>
      <c r="D66" s="310"/>
      <c r="E66" s="310"/>
      <c r="F66" s="310"/>
      <c r="G66" s="310"/>
      <c r="H66" s="310"/>
      <c r="I66" s="310"/>
      <c r="J66" s="310"/>
      <c r="K66" s="310"/>
      <c r="L66" s="310"/>
      <c r="M66" s="310"/>
      <c r="N66" s="310"/>
      <c r="O66" s="310"/>
      <c r="P66" s="310"/>
      <c r="Q66" s="310"/>
    </row>
    <row r="67" spans="1:32" s="108" customFormat="1" ht="13.5" customHeight="1" x14ac:dyDescent="0.25">
      <c r="A67" s="311" t="s">
        <v>191</v>
      </c>
      <c r="B67" s="312"/>
      <c r="C67" s="312"/>
      <c r="D67" s="312"/>
      <c r="E67" s="312"/>
      <c r="F67" s="312"/>
      <c r="G67" s="312"/>
      <c r="H67" s="312"/>
      <c r="I67" s="312"/>
      <c r="J67" s="312"/>
      <c r="K67" s="312"/>
      <c r="L67" s="312"/>
      <c r="M67" s="312"/>
      <c r="N67" s="312"/>
      <c r="O67" s="312"/>
      <c r="P67" s="312"/>
      <c r="Q67" s="313"/>
    </row>
    <row r="68" spans="1:32" s="107" customFormat="1" ht="22.5" customHeight="1" x14ac:dyDescent="0.25">
      <c r="A68" s="314" t="s">
        <v>192</v>
      </c>
      <c r="B68" s="315"/>
      <c r="C68" s="315"/>
      <c r="D68" s="315"/>
      <c r="E68" s="315"/>
      <c r="F68" s="318"/>
      <c r="G68" s="318"/>
      <c r="H68" s="318"/>
      <c r="I68" s="318"/>
      <c r="J68" s="318"/>
      <c r="K68" s="318"/>
      <c r="L68" s="318"/>
      <c r="M68" s="318"/>
      <c r="N68" s="318"/>
      <c r="O68" s="318"/>
      <c r="P68" s="318"/>
      <c r="Q68" s="319"/>
    </row>
    <row r="69" spans="1:32" s="108" customFormat="1" ht="16.5" customHeight="1" x14ac:dyDescent="0.25">
      <c r="A69" s="320" t="s">
        <v>352</v>
      </c>
      <c r="B69" s="321"/>
      <c r="C69" s="321"/>
      <c r="D69" s="321"/>
      <c r="E69" s="321"/>
      <c r="F69" s="321"/>
      <c r="G69" s="321"/>
      <c r="H69" s="321"/>
      <c r="I69" s="321"/>
      <c r="J69" s="321"/>
      <c r="K69" s="321"/>
      <c r="L69" s="321"/>
      <c r="M69" s="321"/>
      <c r="N69" s="321"/>
      <c r="O69" s="321"/>
      <c r="P69" s="321"/>
      <c r="Q69" s="322"/>
    </row>
    <row r="70" spans="1:32" s="108" customFormat="1" ht="3" customHeight="1" x14ac:dyDescent="0.25">
      <c r="A70" s="310"/>
      <c r="B70" s="310"/>
      <c r="C70" s="310"/>
      <c r="D70" s="310"/>
      <c r="E70" s="310"/>
      <c r="F70" s="310"/>
      <c r="G70" s="310"/>
      <c r="H70" s="310"/>
      <c r="I70" s="310"/>
      <c r="J70" s="310"/>
      <c r="K70" s="310"/>
      <c r="L70" s="310"/>
      <c r="M70" s="310"/>
      <c r="N70" s="310"/>
      <c r="O70" s="310"/>
      <c r="P70" s="310"/>
      <c r="Q70" s="310"/>
    </row>
    <row r="71" spans="1:32" s="108" customFormat="1" ht="13.5" customHeight="1" x14ac:dyDescent="0.25">
      <c r="A71" s="311" t="s">
        <v>193</v>
      </c>
      <c r="B71" s="312"/>
      <c r="C71" s="312"/>
      <c r="D71" s="312"/>
      <c r="E71" s="312"/>
      <c r="F71" s="312"/>
      <c r="G71" s="312"/>
      <c r="H71" s="312"/>
      <c r="I71" s="312"/>
      <c r="J71" s="312"/>
      <c r="K71" s="312"/>
      <c r="L71" s="312"/>
      <c r="M71" s="312"/>
      <c r="N71" s="312"/>
      <c r="O71" s="312"/>
      <c r="P71" s="312"/>
      <c r="Q71" s="313"/>
    </row>
    <row r="72" spans="1:32" s="107" customFormat="1" ht="27.75" customHeight="1" x14ac:dyDescent="0.25">
      <c r="A72" s="314" t="s">
        <v>194</v>
      </c>
      <c r="B72" s="315"/>
      <c r="C72" s="315"/>
      <c r="D72" s="315"/>
      <c r="E72" s="315"/>
      <c r="F72" s="316" t="s">
        <v>353</v>
      </c>
      <c r="G72" s="316"/>
      <c r="H72" s="316"/>
      <c r="I72" s="316"/>
      <c r="J72" s="316"/>
      <c r="K72" s="316"/>
      <c r="L72" s="316"/>
      <c r="M72" s="316"/>
      <c r="N72" s="316"/>
      <c r="O72" s="316"/>
      <c r="P72" s="316"/>
      <c r="Q72" s="317"/>
    </row>
    <row r="73" spans="1:32" s="108" customFormat="1" ht="41.25" customHeight="1" x14ac:dyDescent="0.25">
      <c r="A73" s="326" t="s">
        <v>404</v>
      </c>
      <c r="B73" s="327"/>
      <c r="C73" s="327"/>
      <c r="D73" s="327"/>
      <c r="E73" s="327"/>
      <c r="F73" s="327"/>
      <c r="G73" s="327"/>
      <c r="H73" s="327"/>
      <c r="I73" s="327"/>
      <c r="J73" s="327"/>
      <c r="K73" s="327"/>
      <c r="L73" s="327"/>
      <c r="M73" s="327"/>
      <c r="N73" s="327"/>
      <c r="O73" s="327"/>
      <c r="P73" s="327"/>
      <c r="Q73" s="328"/>
    </row>
    <row r="74" spans="1:32" s="108" customFormat="1" ht="5.0999999999999996" customHeight="1" x14ac:dyDescent="0.25">
      <c r="A74" s="310"/>
      <c r="B74" s="310"/>
      <c r="C74" s="310"/>
      <c r="D74" s="310"/>
      <c r="E74" s="310"/>
      <c r="F74" s="310"/>
      <c r="G74" s="310"/>
      <c r="H74" s="310"/>
      <c r="I74" s="310"/>
      <c r="J74" s="310"/>
      <c r="K74" s="310"/>
      <c r="L74" s="310"/>
      <c r="M74" s="310"/>
      <c r="N74" s="310"/>
      <c r="O74" s="310"/>
      <c r="P74" s="310"/>
      <c r="Q74" s="310"/>
    </row>
    <row r="75" spans="1:32" s="108" customFormat="1" ht="13.5" customHeight="1" x14ac:dyDescent="0.25">
      <c r="A75" s="311" t="s">
        <v>195</v>
      </c>
      <c r="B75" s="312"/>
      <c r="C75" s="312"/>
      <c r="D75" s="312"/>
      <c r="E75" s="312"/>
      <c r="F75" s="312"/>
      <c r="G75" s="312"/>
      <c r="H75" s="312"/>
      <c r="I75" s="312"/>
      <c r="J75" s="312"/>
      <c r="K75" s="312"/>
      <c r="L75" s="312"/>
      <c r="M75" s="312"/>
      <c r="N75" s="312"/>
      <c r="O75" s="312"/>
      <c r="P75" s="312"/>
      <c r="Q75" s="313"/>
      <c r="R75" s="338" t="s">
        <v>400</v>
      </c>
      <c r="S75" s="339"/>
      <c r="T75" s="339"/>
      <c r="U75" s="339"/>
      <c r="V75" s="339"/>
      <c r="W75" s="339"/>
      <c r="X75" s="339"/>
      <c r="Y75" s="339"/>
      <c r="Z75" s="339"/>
      <c r="AA75" s="339"/>
      <c r="AB75" s="339"/>
      <c r="AC75" s="339"/>
      <c r="AD75" s="339"/>
      <c r="AE75" s="339"/>
      <c r="AF75" s="340"/>
    </row>
    <row r="76" spans="1:32" s="113" customFormat="1" ht="69.75" customHeight="1" x14ac:dyDescent="0.25">
      <c r="A76" s="111" t="s">
        <v>142</v>
      </c>
      <c r="B76" s="329" t="s">
        <v>394</v>
      </c>
      <c r="C76" s="329"/>
      <c r="D76" s="329"/>
      <c r="E76" s="112">
        <f>((1/12)*0.005)/100%</f>
        <v>4.1666666666666664E-4</v>
      </c>
      <c r="F76" s="330" t="s">
        <v>393</v>
      </c>
      <c r="G76" s="331"/>
      <c r="H76" s="331"/>
      <c r="I76" s="331"/>
      <c r="J76" s="331"/>
      <c r="K76" s="331"/>
      <c r="L76" s="331"/>
      <c r="M76" s="331"/>
      <c r="N76" s="331"/>
      <c r="O76" s="331"/>
      <c r="P76" s="331"/>
      <c r="Q76" s="332"/>
      <c r="R76" s="341"/>
      <c r="S76" s="342"/>
      <c r="T76" s="342"/>
      <c r="U76" s="342"/>
      <c r="V76" s="342"/>
      <c r="W76" s="342"/>
      <c r="X76" s="342"/>
      <c r="Y76" s="342"/>
      <c r="Z76" s="342"/>
      <c r="AA76" s="342"/>
      <c r="AB76" s="342"/>
      <c r="AC76" s="342"/>
      <c r="AD76" s="342"/>
      <c r="AE76" s="342"/>
      <c r="AF76" s="343"/>
    </row>
    <row r="77" spans="1:32" s="115" customFormat="1" ht="32.25" customHeight="1" x14ac:dyDescent="0.25">
      <c r="A77" s="111" t="s">
        <v>145</v>
      </c>
      <c r="B77" s="333" t="s">
        <v>196</v>
      </c>
      <c r="C77" s="333"/>
      <c r="D77" s="333"/>
      <c r="E77" s="114">
        <f>E76*8%</f>
        <v>3.3333333333333335E-5</v>
      </c>
      <c r="F77" s="330" t="s">
        <v>197</v>
      </c>
      <c r="G77" s="331"/>
      <c r="H77" s="331"/>
      <c r="I77" s="331"/>
      <c r="J77" s="331"/>
      <c r="K77" s="331"/>
      <c r="L77" s="331"/>
      <c r="M77" s="331"/>
      <c r="N77" s="331"/>
      <c r="O77" s="331"/>
      <c r="P77" s="331"/>
      <c r="Q77" s="332"/>
      <c r="R77" s="341"/>
      <c r="S77" s="342"/>
      <c r="T77" s="342"/>
      <c r="U77" s="342"/>
      <c r="V77" s="342"/>
      <c r="W77" s="342"/>
      <c r="X77" s="342"/>
      <c r="Y77" s="342"/>
      <c r="Z77" s="342"/>
      <c r="AA77" s="342"/>
      <c r="AB77" s="342"/>
      <c r="AC77" s="342"/>
      <c r="AD77" s="342"/>
      <c r="AE77" s="342"/>
      <c r="AF77" s="343"/>
    </row>
    <row r="78" spans="1:32" s="115" customFormat="1" ht="145.5" customHeight="1" x14ac:dyDescent="0.25">
      <c r="A78" s="116" t="s">
        <v>146</v>
      </c>
      <c r="B78" s="333" t="s">
        <v>198</v>
      </c>
      <c r="C78" s="333"/>
      <c r="D78" s="333"/>
      <c r="E78" s="112">
        <f>E76*40%</f>
        <v>1.6666666666666666E-4</v>
      </c>
      <c r="F78" s="330" t="s">
        <v>199</v>
      </c>
      <c r="G78" s="331"/>
      <c r="H78" s="331"/>
      <c r="I78" s="331"/>
      <c r="J78" s="331"/>
      <c r="K78" s="331"/>
      <c r="L78" s="331"/>
      <c r="M78" s="331"/>
      <c r="N78" s="331"/>
      <c r="O78" s="331"/>
      <c r="P78" s="331"/>
      <c r="Q78" s="332"/>
      <c r="R78" s="341"/>
      <c r="S78" s="342"/>
      <c r="T78" s="342"/>
      <c r="U78" s="342"/>
      <c r="V78" s="342"/>
      <c r="W78" s="342"/>
      <c r="X78" s="342"/>
      <c r="Y78" s="342"/>
      <c r="Z78" s="342"/>
      <c r="AA78" s="342"/>
      <c r="AB78" s="342"/>
      <c r="AC78" s="342"/>
      <c r="AD78" s="342"/>
      <c r="AE78" s="342"/>
      <c r="AF78" s="343"/>
    </row>
    <row r="79" spans="1:32" s="115" customFormat="1" ht="171.75" customHeight="1" x14ac:dyDescent="0.25">
      <c r="A79" s="111" t="s">
        <v>157</v>
      </c>
      <c r="B79" s="333" t="s">
        <v>395</v>
      </c>
      <c r="C79" s="333"/>
      <c r="D79" s="333"/>
      <c r="E79" s="117">
        <f>((7/30)/12)*0.01</f>
        <v>1.9444444444444446E-4</v>
      </c>
      <c r="F79" s="330" t="s">
        <v>399</v>
      </c>
      <c r="G79" s="331"/>
      <c r="H79" s="331"/>
      <c r="I79" s="331"/>
      <c r="J79" s="331"/>
      <c r="K79" s="331"/>
      <c r="L79" s="331"/>
      <c r="M79" s="331"/>
      <c r="N79" s="331"/>
      <c r="O79" s="331"/>
      <c r="P79" s="331"/>
      <c r="Q79" s="332"/>
      <c r="R79" s="341"/>
      <c r="S79" s="342"/>
      <c r="T79" s="342"/>
      <c r="U79" s="342"/>
      <c r="V79" s="342"/>
      <c r="W79" s="342"/>
      <c r="X79" s="342"/>
      <c r="Y79" s="342"/>
      <c r="Z79" s="342"/>
      <c r="AA79" s="342"/>
      <c r="AB79" s="342"/>
      <c r="AC79" s="342"/>
      <c r="AD79" s="342"/>
      <c r="AE79" s="342"/>
      <c r="AF79" s="343"/>
    </row>
    <row r="80" spans="1:32" s="115" customFormat="1" ht="33" customHeight="1" x14ac:dyDescent="0.25">
      <c r="A80" s="111" t="s">
        <v>160</v>
      </c>
      <c r="B80" s="333" t="s">
        <v>200</v>
      </c>
      <c r="C80" s="333"/>
      <c r="D80" s="333"/>
      <c r="E80" s="117">
        <f>E79*E45</f>
        <v>6.8638888888888902E-5</v>
      </c>
      <c r="F80" s="330" t="s">
        <v>201</v>
      </c>
      <c r="G80" s="331"/>
      <c r="H80" s="331"/>
      <c r="I80" s="331"/>
      <c r="J80" s="331"/>
      <c r="K80" s="331"/>
      <c r="L80" s="331"/>
      <c r="M80" s="331"/>
      <c r="N80" s="331"/>
      <c r="O80" s="331"/>
      <c r="P80" s="331"/>
      <c r="Q80" s="332"/>
      <c r="R80" s="341"/>
      <c r="S80" s="342"/>
      <c r="T80" s="342"/>
      <c r="U80" s="342"/>
      <c r="V80" s="342"/>
      <c r="W80" s="342"/>
      <c r="X80" s="342"/>
      <c r="Y80" s="342"/>
      <c r="Z80" s="342"/>
      <c r="AA80" s="342"/>
      <c r="AB80" s="342"/>
      <c r="AC80" s="342"/>
      <c r="AD80" s="342"/>
      <c r="AE80" s="342"/>
      <c r="AF80" s="343"/>
    </row>
    <row r="81" spans="1:32" s="115" customFormat="1" ht="41.25" customHeight="1" x14ac:dyDescent="0.25">
      <c r="A81" s="176" t="s">
        <v>163</v>
      </c>
      <c r="B81" s="350" t="s">
        <v>202</v>
      </c>
      <c r="C81" s="351"/>
      <c r="D81" s="352"/>
      <c r="E81" s="118">
        <f>4%-E78</f>
        <v>3.9833333333333332E-2</v>
      </c>
      <c r="F81" s="330" t="s">
        <v>401</v>
      </c>
      <c r="G81" s="331"/>
      <c r="H81" s="331"/>
      <c r="I81" s="331"/>
      <c r="J81" s="331"/>
      <c r="K81" s="331"/>
      <c r="L81" s="331"/>
      <c r="M81" s="331"/>
      <c r="N81" s="331"/>
      <c r="O81" s="331"/>
      <c r="P81" s="331"/>
      <c r="Q81" s="332"/>
      <c r="R81" s="341"/>
      <c r="S81" s="342"/>
      <c r="T81" s="342"/>
      <c r="U81" s="342"/>
      <c r="V81" s="342"/>
      <c r="W81" s="342"/>
      <c r="X81" s="342"/>
      <c r="Y81" s="342"/>
      <c r="Z81" s="342"/>
      <c r="AA81" s="342"/>
      <c r="AB81" s="342"/>
      <c r="AC81" s="342"/>
      <c r="AD81" s="342"/>
      <c r="AE81" s="342"/>
      <c r="AF81" s="343"/>
    </row>
    <row r="82" spans="1:32" s="115" customFormat="1" ht="28.5" customHeight="1" x14ac:dyDescent="0.25">
      <c r="A82" s="334" t="s">
        <v>0</v>
      </c>
      <c r="B82" s="335"/>
      <c r="C82" s="335"/>
      <c r="D82" s="336"/>
      <c r="E82" s="182">
        <f>SUM(E76:E81)</f>
        <v>4.071308333333333E-2</v>
      </c>
      <c r="F82" s="177"/>
      <c r="G82" s="178"/>
      <c r="H82" s="178"/>
      <c r="I82" s="178"/>
      <c r="J82" s="337"/>
      <c r="K82" s="337"/>
      <c r="L82" s="178"/>
      <c r="M82" s="178"/>
      <c r="N82" s="178"/>
      <c r="O82" s="178"/>
      <c r="P82" s="178"/>
      <c r="Q82" s="179"/>
      <c r="R82" s="344"/>
      <c r="S82" s="345"/>
      <c r="T82" s="345"/>
      <c r="U82" s="345"/>
      <c r="V82" s="345"/>
      <c r="W82" s="345"/>
      <c r="X82" s="345"/>
      <c r="Y82" s="345"/>
      <c r="Z82" s="345"/>
      <c r="AA82" s="345"/>
      <c r="AB82" s="345"/>
      <c r="AC82" s="345"/>
      <c r="AD82" s="345"/>
      <c r="AE82" s="345"/>
      <c r="AF82" s="346"/>
    </row>
    <row r="83" spans="1:32" ht="5.0999999999999996" customHeight="1" x14ac:dyDescent="0.25"/>
    <row r="84" spans="1:32" ht="15" customHeight="1" x14ac:dyDescent="0.25">
      <c r="A84" s="347" t="s">
        <v>203</v>
      </c>
      <c r="B84" s="348"/>
      <c r="C84" s="348"/>
      <c r="D84" s="348"/>
      <c r="E84" s="348"/>
      <c r="F84" s="348"/>
      <c r="G84" s="348"/>
      <c r="H84" s="348"/>
      <c r="I84" s="348"/>
      <c r="J84" s="348"/>
      <c r="K84" s="348"/>
      <c r="L84" s="348"/>
      <c r="M84" s="348"/>
      <c r="N84" s="348"/>
      <c r="O84" s="348"/>
      <c r="P84" s="349"/>
    </row>
    <row r="85" spans="1:32" ht="15" customHeight="1" x14ac:dyDescent="0.25">
      <c r="A85" s="311" t="s">
        <v>204</v>
      </c>
      <c r="B85" s="312"/>
      <c r="C85" s="312"/>
      <c r="D85" s="312"/>
      <c r="E85" s="312"/>
      <c r="F85" s="312"/>
      <c r="G85" s="312"/>
      <c r="H85" s="312"/>
      <c r="I85" s="312"/>
      <c r="J85" s="312"/>
      <c r="K85" s="312"/>
      <c r="L85" s="312"/>
      <c r="M85" s="312"/>
      <c r="N85" s="312"/>
      <c r="O85" s="312"/>
      <c r="P85" s="313"/>
    </row>
    <row r="86" spans="1:32" s="119" customFormat="1" ht="24.75" customHeight="1" x14ac:dyDescent="0.25">
      <c r="A86" s="111" t="s">
        <v>142</v>
      </c>
      <c r="B86" s="333" t="s">
        <v>205</v>
      </c>
      <c r="C86" s="333"/>
      <c r="D86" s="333"/>
      <c r="E86" s="117">
        <v>9.9000000000000008E-3</v>
      </c>
      <c r="F86" s="330"/>
      <c r="G86" s="331"/>
      <c r="H86" s="331"/>
      <c r="I86" s="331"/>
      <c r="J86" s="331"/>
      <c r="K86" s="331"/>
      <c r="L86" s="331"/>
      <c r="M86" s="331"/>
      <c r="N86" s="331"/>
      <c r="O86" s="331"/>
      <c r="P86" s="332"/>
      <c r="S86" s="175"/>
      <c r="T86" s="175"/>
    </row>
    <row r="87" spans="1:32" s="119" customFormat="1" ht="105" customHeight="1" x14ac:dyDescent="0.25">
      <c r="A87" s="111" t="s">
        <v>145</v>
      </c>
      <c r="B87" s="356" t="s">
        <v>206</v>
      </c>
      <c r="C87" s="356"/>
      <c r="D87" s="356"/>
      <c r="E87" s="117">
        <v>1E-4</v>
      </c>
      <c r="F87" s="330" t="s">
        <v>402</v>
      </c>
      <c r="G87" s="331"/>
      <c r="H87" s="331"/>
      <c r="I87" s="331"/>
      <c r="J87" s="331"/>
      <c r="K87" s="331"/>
      <c r="L87" s="331"/>
      <c r="M87" s="331"/>
      <c r="N87" s="331"/>
      <c r="O87" s="331"/>
      <c r="P87" s="332"/>
      <c r="S87" s="173">
        <f>((1+5/56+5/56+(1/3*5/56))*1/12)</f>
        <v>0.10069444444444442</v>
      </c>
    </row>
    <row r="88" spans="1:32" ht="93.75" customHeight="1" x14ac:dyDescent="0.25">
      <c r="A88" s="100" t="s">
        <v>146</v>
      </c>
      <c r="B88" s="284" t="s">
        <v>207</v>
      </c>
      <c r="C88" s="284"/>
      <c r="D88" s="284"/>
      <c r="E88" s="101">
        <v>1E-4</v>
      </c>
      <c r="F88" s="330" t="s">
        <v>403</v>
      </c>
      <c r="G88" s="331"/>
      <c r="H88" s="331"/>
      <c r="I88" s="331"/>
      <c r="J88" s="331"/>
      <c r="K88" s="331"/>
      <c r="L88" s="331"/>
      <c r="M88" s="331"/>
      <c r="N88" s="331"/>
      <c r="O88" s="331"/>
      <c r="P88" s="332"/>
      <c r="S88" s="174">
        <f>(((1+5/56+5/56+(1/3*5/56))/5/12)*30%)</f>
        <v>6.0416666666666648E-3</v>
      </c>
    </row>
    <row r="89" spans="1:32" ht="73.5" customHeight="1" x14ac:dyDescent="0.25">
      <c r="A89" s="100" t="s">
        <v>157</v>
      </c>
      <c r="B89" s="305" t="s">
        <v>208</v>
      </c>
      <c r="C89" s="305"/>
      <c r="D89" s="305"/>
      <c r="E89" s="101">
        <v>2.0000000000000001E-4</v>
      </c>
      <c r="F89" s="330" t="s">
        <v>396</v>
      </c>
      <c r="G89" s="331"/>
      <c r="H89" s="331"/>
      <c r="I89" s="331"/>
      <c r="J89" s="331"/>
      <c r="K89" s="331"/>
      <c r="L89" s="331"/>
      <c r="M89" s="331"/>
      <c r="N89" s="331"/>
      <c r="O89" s="331"/>
      <c r="P89" s="332"/>
      <c r="S89" s="94">
        <f>(15/30/12)*0.5%*100</f>
        <v>2.0833333333333332E-2</v>
      </c>
    </row>
    <row r="90" spans="1:32" ht="89.25" customHeight="1" x14ac:dyDescent="0.25">
      <c r="A90" s="100" t="s">
        <v>160</v>
      </c>
      <c r="B90" s="305" t="s">
        <v>209</v>
      </c>
      <c r="C90" s="305"/>
      <c r="D90" s="305"/>
      <c r="E90" s="101">
        <v>1E-4</v>
      </c>
      <c r="F90" s="353" t="s">
        <v>397</v>
      </c>
      <c r="G90" s="354"/>
      <c r="H90" s="354"/>
      <c r="I90" s="354"/>
      <c r="J90" s="354"/>
      <c r="K90" s="354"/>
      <c r="L90" s="354"/>
      <c r="M90" s="354"/>
      <c r="N90" s="354"/>
      <c r="O90" s="354"/>
      <c r="P90" s="354"/>
      <c r="S90" s="94">
        <f>((1/12*4)+(1.33/12*4)/12)*0.31*10%</f>
        <v>1.1478611111111111E-2</v>
      </c>
    </row>
    <row r="91" spans="1:32" ht="154.5" customHeight="1" x14ac:dyDescent="0.25">
      <c r="A91" s="100" t="s">
        <v>163</v>
      </c>
      <c r="B91" s="284" t="s">
        <v>415</v>
      </c>
      <c r="C91" s="305"/>
      <c r="D91" s="305"/>
      <c r="E91" s="101" t="s">
        <v>398</v>
      </c>
      <c r="F91" s="353" t="s">
        <v>416</v>
      </c>
      <c r="G91" s="354"/>
      <c r="H91" s="354"/>
      <c r="I91" s="354"/>
      <c r="J91" s="354"/>
      <c r="K91" s="354"/>
      <c r="L91" s="354"/>
      <c r="M91" s="354"/>
      <c r="N91" s="354"/>
      <c r="O91" s="354"/>
      <c r="P91" s="354"/>
    </row>
    <row r="92" spans="1:32" ht="15" customHeight="1" x14ac:dyDescent="0.25">
      <c r="A92" s="285" t="s">
        <v>210</v>
      </c>
      <c r="B92" s="285"/>
      <c r="C92" s="285"/>
      <c r="D92" s="285"/>
      <c r="E92" s="103">
        <f>SUM(E86:E91)</f>
        <v>1.04E-2</v>
      </c>
      <c r="F92" s="294" t="s">
        <v>211</v>
      </c>
      <c r="G92" s="294"/>
      <c r="H92" s="294"/>
      <c r="I92" s="294"/>
      <c r="J92" s="294"/>
      <c r="K92" s="294"/>
      <c r="L92" s="294"/>
      <c r="M92" s="294"/>
      <c r="N92" s="294"/>
      <c r="O92" s="294"/>
      <c r="P92" s="294"/>
    </row>
    <row r="93" spans="1:32" s="102" customFormat="1" ht="47.25" customHeight="1" x14ac:dyDescent="0.25">
      <c r="A93" s="100" t="s">
        <v>166</v>
      </c>
      <c r="B93" s="284" t="s">
        <v>147</v>
      </c>
      <c r="C93" s="284"/>
      <c r="D93" s="284"/>
      <c r="E93" s="101">
        <f>E92*E45</f>
        <v>3.6712000000000003E-3</v>
      </c>
      <c r="F93" s="283" t="s">
        <v>148</v>
      </c>
      <c r="G93" s="283"/>
      <c r="H93" s="283"/>
      <c r="I93" s="283"/>
      <c r="J93" s="283"/>
      <c r="K93" s="283"/>
      <c r="L93" s="283"/>
      <c r="M93" s="283"/>
      <c r="N93" s="283"/>
      <c r="O93" s="283"/>
      <c r="P93" s="283"/>
      <c r="Q93" s="283"/>
    </row>
    <row r="94" spans="1:32" ht="15" customHeight="1" x14ac:dyDescent="0.25">
      <c r="A94" s="285" t="s">
        <v>392</v>
      </c>
      <c r="B94" s="285"/>
      <c r="C94" s="285"/>
      <c r="D94" s="285"/>
      <c r="E94" s="103">
        <f>E92+E93</f>
        <v>1.4071199999999999E-2</v>
      </c>
      <c r="F94" s="294" t="s">
        <v>211</v>
      </c>
      <c r="G94" s="294"/>
      <c r="H94" s="294"/>
      <c r="I94" s="294"/>
      <c r="J94" s="294"/>
      <c r="K94" s="294"/>
      <c r="L94" s="294"/>
      <c r="M94" s="294"/>
      <c r="N94" s="294"/>
      <c r="O94" s="294"/>
      <c r="P94" s="294"/>
    </row>
    <row r="95" spans="1:32" ht="15" customHeight="1" x14ac:dyDescent="0.25">
      <c r="A95" s="355"/>
      <c r="B95" s="355"/>
      <c r="C95" s="355"/>
      <c r="D95" s="355"/>
      <c r="E95" s="355"/>
      <c r="F95" s="355"/>
      <c r="G95" s="355"/>
      <c r="H95" s="355"/>
      <c r="I95" s="355"/>
      <c r="J95" s="355"/>
      <c r="K95" s="355"/>
      <c r="L95" s="355"/>
      <c r="M95" s="355"/>
      <c r="N95" s="355"/>
      <c r="O95" s="355"/>
      <c r="P95" s="355"/>
    </row>
    <row r="96" spans="1:32" s="108" customFormat="1" ht="9.9499999999999993" customHeight="1" x14ac:dyDescent="0.25">
      <c r="A96" s="360"/>
      <c r="B96" s="360"/>
      <c r="C96" s="360"/>
      <c r="D96" s="360"/>
      <c r="E96" s="360"/>
      <c r="F96" s="360"/>
      <c r="G96" s="360"/>
      <c r="H96" s="360"/>
      <c r="I96" s="360"/>
      <c r="J96" s="360"/>
      <c r="K96" s="360"/>
      <c r="L96" s="360"/>
      <c r="M96" s="360"/>
      <c r="N96" s="360"/>
      <c r="O96" s="360"/>
      <c r="P96" s="360"/>
    </row>
    <row r="97" spans="1:17" s="108" customFormat="1" ht="42" customHeight="1" x14ac:dyDescent="0.25">
      <c r="A97" s="361" t="s">
        <v>212</v>
      </c>
      <c r="B97" s="362"/>
      <c r="C97" s="362"/>
      <c r="D97" s="362"/>
      <c r="E97" s="362"/>
      <c r="F97" s="362"/>
      <c r="G97" s="362"/>
      <c r="H97" s="362"/>
      <c r="I97" s="362"/>
      <c r="J97" s="362"/>
      <c r="K97" s="362"/>
      <c r="L97" s="362"/>
      <c r="M97" s="362"/>
      <c r="N97" s="362"/>
      <c r="O97" s="362"/>
      <c r="P97" s="363"/>
    </row>
    <row r="98" spans="1:17" s="108" customFormat="1" ht="18.75" customHeight="1" x14ac:dyDescent="0.25">
      <c r="A98" s="364" t="s">
        <v>343</v>
      </c>
      <c r="B98" s="365"/>
      <c r="C98" s="365"/>
      <c r="D98" s="365"/>
      <c r="E98" s="180">
        <f>Diurno!B116</f>
        <v>8.2600209999999993E-3</v>
      </c>
      <c r="F98" s="120"/>
      <c r="G98" s="120"/>
      <c r="H98" s="120"/>
      <c r="I98" s="120"/>
      <c r="J98" s="120"/>
      <c r="K98" s="120"/>
      <c r="L98" s="120"/>
      <c r="M98" s="120"/>
      <c r="N98" s="120"/>
      <c r="O98" s="120"/>
      <c r="P98" s="120"/>
    </row>
    <row r="99" spans="1:17" s="108" customFormat="1" ht="35.1" customHeight="1" x14ac:dyDescent="0.25">
      <c r="A99" s="358" t="s">
        <v>213</v>
      </c>
      <c r="B99" s="359"/>
      <c r="C99" s="359"/>
      <c r="D99" s="359"/>
      <c r="E99" s="359"/>
      <c r="F99" s="359"/>
      <c r="G99" s="359"/>
      <c r="H99" s="359"/>
      <c r="I99" s="359"/>
      <c r="J99" s="359"/>
      <c r="K99" s="359"/>
      <c r="L99" s="359"/>
      <c r="M99" s="359"/>
      <c r="N99" s="359"/>
      <c r="O99" s="359"/>
      <c r="P99" s="359"/>
    </row>
    <row r="100" spans="1:17" s="108" customFormat="1" ht="13.5" customHeight="1" x14ac:dyDescent="0.25">
      <c r="A100" s="366" t="s">
        <v>222</v>
      </c>
      <c r="B100" s="366"/>
      <c r="C100" s="366"/>
      <c r="D100" s="366"/>
      <c r="E100" s="181">
        <f>Diurno!B117</f>
        <v>5.0000000000000001E-3</v>
      </c>
      <c r="F100" s="121"/>
      <c r="G100" s="121"/>
      <c r="H100" s="121"/>
      <c r="I100" s="121"/>
      <c r="J100" s="121"/>
      <c r="K100" s="121"/>
      <c r="L100" s="121"/>
      <c r="M100" s="121"/>
      <c r="N100" s="121"/>
      <c r="O100" s="121"/>
      <c r="P100" s="121"/>
    </row>
    <row r="101" spans="1:17" s="108" customFormat="1" ht="35.1" customHeight="1" x14ac:dyDescent="0.25">
      <c r="A101" s="358" t="s">
        <v>214</v>
      </c>
      <c r="B101" s="359"/>
      <c r="C101" s="359"/>
      <c r="D101" s="359"/>
      <c r="E101" s="359"/>
      <c r="F101" s="359"/>
      <c r="G101" s="359"/>
      <c r="H101" s="359"/>
      <c r="I101" s="359"/>
      <c r="J101" s="359"/>
      <c r="K101" s="359"/>
      <c r="L101" s="359"/>
      <c r="M101" s="359"/>
      <c r="N101" s="359"/>
      <c r="O101" s="359"/>
      <c r="P101" s="359"/>
    </row>
    <row r="102" spans="1:17" s="102" customFormat="1" ht="21.75" customHeight="1" x14ac:dyDescent="0.25">
      <c r="A102" s="357" t="s">
        <v>412</v>
      </c>
      <c r="B102" s="357"/>
      <c r="C102" s="357"/>
      <c r="D102" s="357"/>
      <c r="E102" s="357"/>
      <c r="F102" s="357"/>
      <c r="G102" s="357"/>
      <c r="H102" s="357"/>
      <c r="I102" s="357"/>
      <c r="J102" s="357"/>
      <c r="K102" s="357"/>
      <c r="L102" s="357"/>
      <c r="M102" s="357"/>
      <c r="N102" s="357"/>
      <c r="O102" s="357"/>
      <c r="P102" s="357"/>
    </row>
    <row r="103" spans="1:17" s="108" customFormat="1" ht="174.75" customHeight="1" x14ac:dyDescent="0.25">
      <c r="A103" s="310" t="s">
        <v>413</v>
      </c>
      <c r="B103" s="310"/>
      <c r="C103" s="310"/>
      <c r="D103" s="310"/>
      <c r="E103" s="310"/>
      <c r="F103" s="310"/>
      <c r="G103" s="310"/>
      <c r="H103" s="310"/>
      <c r="I103" s="310"/>
      <c r="J103" s="310"/>
      <c r="K103" s="310"/>
      <c r="L103" s="310"/>
      <c r="M103" s="310"/>
      <c r="N103" s="310"/>
      <c r="O103" s="310"/>
      <c r="P103" s="310"/>
      <c r="Q103" s="310"/>
    </row>
    <row r="104" spans="1:17" s="108" customFormat="1" ht="35.1" customHeight="1" x14ac:dyDescent="0.25">
      <c r="A104" s="358" t="s">
        <v>215</v>
      </c>
      <c r="B104" s="359"/>
      <c r="C104" s="359"/>
      <c r="D104" s="359"/>
      <c r="E104" s="359"/>
      <c r="F104" s="359"/>
      <c r="G104" s="359"/>
      <c r="H104" s="359"/>
      <c r="I104" s="359"/>
      <c r="J104" s="359"/>
      <c r="K104" s="359"/>
      <c r="L104" s="359"/>
      <c r="M104" s="359"/>
      <c r="N104" s="359"/>
      <c r="O104" s="359"/>
      <c r="P104" s="359"/>
    </row>
  </sheetData>
  <mergeCells count="152">
    <mergeCell ref="A102:P102"/>
    <mergeCell ref="A104:P104"/>
    <mergeCell ref="A96:P96"/>
    <mergeCell ref="A97:P97"/>
    <mergeCell ref="A99:P99"/>
    <mergeCell ref="A101:P101"/>
    <mergeCell ref="A98:D98"/>
    <mergeCell ref="A100:D100"/>
    <mergeCell ref="A103:Q103"/>
    <mergeCell ref="B90:D90"/>
    <mergeCell ref="F90:P90"/>
    <mergeCell ref="A92:D92"/>
    <mergeCell ref="F92:P92"/>
    <mergeCell ref="A95:P95"/>
    <mergeCell ref="B87:D87"/>
    <mergeCell ref="F87:P87"/>
    <mergeCell ref="B88:D88"/>
    <mergeCell ref="F88:P88"/>
    <mergeCell ref="B89:D89"/>
    <mergeCell ref="F89:P89"/>
    <mergeCell ref="B91:D91"/>
    <mergeCell ref="F91:P91"/>
    <mergeCell ref="B93:D93"/>
    <mergeCell ref="F93:Q93"/>
    <mergeCell ref="A94:D94"/>
    <mergeCell ref="F94:P94"/>
    <mergeCell ref="A82:D82"/>
    <mergeCell ref="J82:K82"/>
    <mergeCell ref="R75:AF82"/>
    <mergeCell ref="A84:P84"/>
    <mergeCell ref="A85:P85"/>
    <mergeCell ref="B86:D86"/>
    <mergeCell ref="F86:P86"/>
    <mergeCell ref="B79:D79"/>
    <mergeCell ref="F79:Q79"/>
    <mergeCell ref="B80:D80"/>
    <mergeCell ref="F80:Q80"/>
    <mergeCell ref="B81:D81"/>
    <mergeCell ref="F81:Q81"/>
    <mergeCell ref="A73:Q73"/>
    <mergeCell ref="A74:Q74"/>
    <mergeCell ref="A75:Q75"/>
    <mergeCell ref="B76:D76"/>
    <mergeCell ref="F76:Q76"/>
    <mergeCell ref="B77:D77"/>
    <mergeCell ref="F77:Q77"/>
    <mergeCell ref="B78:D78"/>
    <mergeCell ref="F78:Q78"/>
    <mergeCell ref="A70:Q70"/>
    <mergeCell ref="A71:Q71"/>
    <mergeCell ref="A72:E72"/>
    <mergeCell ref="F72:Q72"/>
    <mergeCell ref="A67:Q67"/>
    <mergeCell ref="A68:E68"/>
    <mergeCell ref="F68:Q68"/>
    <mergeCell ref="A69:Q69"/>
    <mergeCell ref="A62:Q62"/>
    <mergeCell ref="A63:Q63"/>
    <mergeCell ref="A64:E64"/>
    <mergeCell ref="F64:Q64"/>
    <mergeCell ref="A65:Q65"/>
    <mergeCell ref="A66:Q66"/>
    <mergeCell ref="B61:C61"/>
    <mergeCell ref="D61:E61"/>
    <mergeCell ref="G61:H61"/>
    <mergeCell ref="I61:K61"/>
    <mergeCell ref="L61:Q61"/>
    <mergeCell ref="A55:Q55"/>
    <mergeCell ref="A56:Q56"/>
    <mergeCell ref="A57:Q57"/>
    <mergeCell ref="A58:Q58"/>
    <mergeCell ref="A59:Q59"/>
    <mergeCell ref="B60:C60"/>
    <mergeCell ref="D60:E60"/>
    <mergeCell ref="G60:H60"/>
    <mergeCell ref="I60:K60"/>
    <mergeCell ref="L60:Q60"/>
    <mergeCell ref="A52:K52"/>
    <mergeCell ref="L52:Q52"/>
    <mergeCell ref="A53:K53"/>
    <mergeCell ref="L53:Q53"/>
    <mergeCell ref="A54:K54"/>
    <mergeCell ref="L54:Q54"/>
    <mergeCell ref="A50:C51"/>
    <mergeCell ref="D50:F50"/>
    <mergeCell ref="H50:K50"/>
    <mergeCell ref="L50:Q50"/>
    <mergeCell ref="D51:F51"/>
    <mergeCell ref="H51:K51"/>
    <mergeCell ref="L51:Q51"/>
    <mergeCell ref="A45:D45"/>
    <mergeCell ref="F45:Q45"/>
    <mergeCell ref="A47:Q47"/>
    <mergeCell ref="A48:Q48"/>
    <mergeCell ref="A49:Q49"/>
    <mergeCell ref="B42:D42"/>
    <mergeCell ref="F42:Q42"/>
    <mergeCell ref="B43:D43"/>
    <mergeCell ref="F43:Q43"/>
    <mergeCell ref="B44:D44"/>
    <mergeCell ref="F44:Q44"/>
    <mergeCell ref="B39:D39"/>
    <mergeCell ref="F39:Q39"/>
    <mergeCell ref="B40:D40"/>
    <mergeCell ref="F40:Q40"/>
    <mergeCell ref="B41:D41"/>
    <mergeCell ref="F41:Q41"/>
    <mergeCell ref="A34:Q34"/>
    <mergeCell ref="A35:Q35"/>
    <mergeCell ref="A36:Q36"/>
    <mergeCell ref="B37:D37"/>
    <mergeCell ref="F37:Q37"/>
    <mergeCell ref="B38:D38"/>
    <mergeCell ref="F38:Q38"/>
    <mergeCell ref="B30:D30"/>
    <mergeCell ref="F30:Q30"/>
    <mergeCell ref="B32:D32"/>
    <mergeCell ref="F32:Q32"/>
    <mergeCell ref="A33:D33"/>
    <mergeCell ref="F33:Q33"/>
    <mergeCell ref="A25:Q25"/>
    <mergeCell ref="A26:Q26"/>
    <mergeCell ref="A27:Q27"/>
    <mergeCell ref="A28:Q28"/>
    <mergeCell ref="B29:D29"/>
    <mergeCell ref="F29:Q29"/>
    <mergeCell ref="B31:D31"/>
    <mergeCell ref="F31:Q31"/>
    <mergeCell ref="A19:Q19"/>
    <mergeCell ref="A20:Q20"/>
    <mergeCell ref="A21:Q21"/>
    <mergeCell ref="A22:Q22"/>
    <mergeCell ref="A23:Q23"/>
    <mergeCell ref="A24:Q24"/>
    <mergeCell ref="A13:Q13"/>
    <mergeCell ref="A14:Q14"/>
    <mergeCell ref="A15:Q15"/>
    <mergeCell ref="A16:Q16"/>
    <mergeCell ref="A17:Q17"/>
    <mergeCell ref="A18:Q18"/>
    <mergeCell ref="A7:Q7"/>
    <mergeCell ref="A8:Q8"/>
    <mergeCell ref="A9:Q9"/>
    <mergeCell ref="A10:Q10"/>
    <mergeCell ref="A11:Q11"/>
    <mergeCell ref="A12:Q12"/>
    <mergeCell ref="A1:Q1"/>
    <mergeCell ref="A2:Q2"/>
    <mergeCell ref="A3:Q3"/>
    <mergeCell ref="A4:Q4"/>
    <mergeCell ref="A5:Q5"/>
    <mergeCell ref="A6:Q6"/>
  </mergeCells>
  <hyperlinks>
    <hyperlink ref="A7" r:id="rId1" display="http://www.planalto.gov.br/ccivil_03/decreto-lei/Del5452.htm" xr:uid="{00000000-0004-0000-0300-000000000000}"/>
    <hyperlink ref="A10" r:id="rId2" display="http://www.planalto.gov.br/ccivil_03/decreto-lei/Del5452.htm" xr:uid="{00000000-0004-0000-0300-000001000000}"/>
    <hyperlink ref="A14" r:id="rId3" display="http://www.planalto.gov.br/ccivil_03/decreto-lei/Del5452.htm" xr:uid="{00000000-0004-0000-0300-000002000000}"/>
    <hyperlink ref="A19" r:id="rId4" display="http://www.planalto.gov.br/ccivil_03/decreto-lei/Del5452.htm" xr:uid="{00000000-0004-0000-0300-000003000000}"/>
    <hyperlink ref="A22" r:id="rId5" display="http://www.planalto.gov.br/ccivil_03/decreto-lei/Del5452.htm" xr:uid="{00000000-0004-0000-0300-000004000000}"/>
    <hyperlink ref="A24" r:id="rId6" display="http://www.planalto.gov.br/ccivil_03/decreto-lei/Del5452.htm" xr:uid="{00000000-0004-0000-0300-000005000000}"/>
    <hyperlink ref="F40" r:id="rId7" display="http://www.planalto.gov.br/ccivil_03/_Ato2019-2022/2020/Mpv/mpv932.htm" xr:uid="{00000000-0004-0000-0300-000006000000}"/>
    <hyperlink ref="F41" r:id="rId8" display="http://www.planalto.gov.br/ccivil_03/_Ato2019-2022/2020/Mpv/mpv932.htm" xr:uid="{00000000-0004-0000-0300-000007000000}"/>
  </hyperlinks>
  <pageMargins left="0.7" right="0.7" top="0.75" bottom="0.75" header="0.3" footer="0.3"/>
  <pageSetup paperSize="9" scale="62" orientation="portrait" r:id="rId9"/>
  <rowBreaks count="3" manualBreakCount="3">
    <brk id="34" max="31" man="1"/>
    <brk id="66" max="31" man="1"/>
    <brk id="83" max="31" man="1"/>
  </rowBreaks>
  <colBreaks count="1" manualBreakCount="1">
    <brk id="17" max="111" man="1"/>
  </colBreaks>
  <drawing r:id="rId1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236"/>
  <sheetViews>
    <sheetView view="pageBreakPreview" zoomScale="96" zoomScaleNormal="100" zoomScaleSheetLayoutView="96" workbookViewId="0">
      <selection activeCell="D14" sqref="D14"/>
    </sheetView>
  </sheetViews>
  <sheetFormatPr defaultRowHeight="12.75" x14ac:dyDescent="0.25"/>
  <cols>
    <col min="1" max="1" width="92.7109375" style="4" customWidth="1"/>
    <col min="2" max="2" width="15.28515625" style="8" customWidth="1"/>
    <col min="3" max="4" width="23.7109375" style="8" customWidth="1"/>
    <col min="5" max="5" width="20.7109375" style="4" customWidth="1"/>
    <col min="6" max="6" width="18.42578125" style="4" customWidth="1"/>
    <col min="7" max="7" width="9.85546875" style="4" bestFit="1" customWidth="1"/>
    <col min="8" max="16384" width="9.140625" style="4"/>
  </cols>
  <sheetData>
    <row r="1" spans="1:6" s="10" customFormat="1" ht="27" customHeight="1" x14ac:dyDescent="0.25">
      <c r="A1" s="395" t="str">
        <f>A13</f>
        <v>Posto de Brigadista diurno 12x36hs</v>
      </c>
      <c r="B1" s="395"/>
      <c r="C1" s="395"/>
      <c r="D1" s="189"/>
      <c r="E1" s="9"/>
      <c r="F1" s="9"/>
    </row>
    <row r="2" spans="1:6" s="10" customFormat="1" ht="31.5" customHeight="1" x14ac:dyDescent="0.25">
      <c r="A2" s="396" t="s">
        <v>88</v>
      </c>
      <c r="B2" s="396"/>
      <c r="C2" s="396"/>
      <c r="D2" s="190"/>
    </row>
    <row r="3" spans="1:6" s="10" customFormat="1" ht="15.75" customHeight="1" x14ac:dyDescent="0.25">
      <c r="A3" s="11" t="s">
        <v>68</v>
      </c>
      <c r="B3" s="11"/>
      <c r="C3" s="11"/>
      <c r="D3" s="11"/>
    </row>
    <row r="4" spans="1:6" s="10" customFormat="1" ht="15.75" customHeight="1" x14ac:dyDescent="0.25">
      <c r="A4" s="11" t="s">
        <v>69</v>
      </c>
      <c r="B4" s="11"/>
      <c r="C4" s="11"/>
      <c r="D4" s="11"/>
    </row>
    <row r="5" spans="1:6" s="10" customFormat="1" ht="14.85" customHeight="1" x14ac:dyDescent="0.25">
      <c r="A5" s="397"/>
      <c r="B5" s="397"/>
      <c r="C5" s="397"/>
      <c r="D5" s="191"/>
    </row>
    <row r="6" spans="1:6" s="10" customFormat="1" ht="20.25" customHeight="1" x14ac:dyDescent="0.25">
      <c r="A6" s="398" t="s">
        <v>70</v>
      </c>
      <c r="B6" s="398"/>
      <c r="C6" s="398"/>
      <c r="D6" s="192"/>
    </row>
    <row r="7" spans="1:6" s="10" customFormat="1" ht="15.75" customHeight="1" x14ac:dyDescent="0.25">
      <c r="A7" s="11" t="s">
        <v>71</v>
      </c>
      <c r="B7" s="399"/>
      <c r="C7" s="399"/>
      <c r="D7" s="193"/>
    </row>
    <row r="8" spans="1:6" s="10" customFormat="1" ht="15.75" customHeight="1" x14ac:dyDescent="0.25">
      <c r="A8" s="11" t="s">
        <v>72</v>
      </c>
      <c r="B8" s="400" t="s">
        <v>1</v>
      </c>
      <c r="C8" s="400"/>
      <c r="D8" s="194"/>
    </row>
    <row r="9" spans="1:6" s="10" customFormat="1" ht="20.100000000000001" customHeight="1" x14ac:dyDescent="0.25">
      <c r="A9" s="11" t="s">
        <v>73</v>
      </c>
      <c r="B9" s="401"/>
      <c r="C9" s="401"/>
      <c r="D9" s="195"/>
    </row>
    <row r="10" spans="1:6" s="10" customFormat="1" ht="15.75" customHeight="1" x14ac:dyDescent="0.25">
      <c r="A10" s="11" t="s">
        <v>74</v>
      </c>
      <c r="B10" s="401" t="s">
        <v>75</v>
      </c>
      <c r="C10" s="401"/>
      <c r="D10" s="195"/>
    </row>
    <row r="11" spans="1:6" s="10" customFormat="1" ht="21.2" customHeight="1" x14ac:dyDescent="0.25">
      <c r="A11" s="11" t="s">
        <v>76</v>
      </c>
      <c r="B11" s="11"/>
      <c r="C11" s="11"/>
      <c r="D11" s="11"/>
    </row>
    <row r="12" spans="1:6" s="10" customFormat="1" ht="47.25" customHeight="1" x14ac:dyDescent="0.25">
      <c r="A12" s="50" t="s">
        <v>81</v>
      </c>
      <c r="B12" s="50" t="s">
        <v>77</v>
      </c>
      <c r="C12" s="50" t="s">
        <v>78</v>
      </c>
      <c r="D12" s="50" t="s">
        <v>78</v>
      </c>
    </row>
    <row r="13" spans="1:6" s="10" customFormat="1" ht="36" customHeight="1" x14ac:dyDescent="0.25">
      <c r="A13" s="12" t="s">
        <v>120</v>
      </c>
      <c r="B13" s="80" t="s">
        <v>79</v>
      </c>
      <c r="C13" s="51">
        <v>12</v>
      </c>
      <c r="D13" s="51">
        <v>12</v>
      </c>
    </row>
    <row r="14" spans="1:6" s="10" customFormat="1" ht="18.75" customHeight="1" x14ac:dyDescent="0.25">
      <c r="A14" s="398" t="s">
        <v>80</v>
      </c>
      <c r="B14" s="398"/>
      <c r="C14" s="51">
        <f>SUM(C13)</f>
        <v>12</v>
      </c>
      <c r="D14" s="51">
        <f>SUM(D13)</f>
        <v>12</v>
      </c>
    </row>
    <row r="15" spans="1:6" s="10" customFormat="1" ht="18" customHeight="1" x14ac:dyDescent="0.25">
      <c r="A15" s="402" t="s">
        <v>101</v>
      </c>
      <c r="B15" s="403"/>
      <c r="C15" s="404"/>
      <c r="D15" s="196"/>
    </row>
    <row r="16" spans="1:6" s="10" customFormat="1" ht="18" customHeight="1" x14ac:dyDescent="0.25">
      <c r="A16" s="402" t="s">
        <v>102</v>
      </c>
      <c r="B16" s="403"/>
      <c r="C16" s="404"/>
      <c r="D16" s="196"/>
    </row>
    <row r="17" spans="1:10" x14ac:dyDescent="0.25">
      <c r="A17" s="405" t="s">
        <v>82</v>
      </c>
      <c r="B17" s="405"/>
      <c r="C17" s="405"/>
      <c r="D17" s="197"/>
    </row>
    <row r="18" spans="1:10" x14ac:dyDescent="0.25">
      <c r="A18" s="394" t="s">
        <v>83</v>
      </c>
      <c r="B18" s="394"/>
      <c r="C18" s="394"/>
      <c r="D18" s="198"/>
    </row>
    <row r="19" spans="1:10" s="5" customFormat="1" x14ac:dyDescent="0.2">
      <c r="A19" s="16" t="s">
        <v>2</v>
      </c>
      <c r="B19" s="382" t="s">
        <v>115</v>
      </c>
      <c r="C19" s="382"/>
      <c r="D19" s="199"/>
    </row>
    <row r="20" spans="1:10" s="5" customFormat="1" x14ac:dyDescent="0.2">
      <c r="A20" s="16" t="s">
        <v>84</v>
      </c>
      <c r="B20" s="383" t="s">
        <v>116</v>
      </c>
      <c r="C20" s="383"/>
      <c r="D20" s="200"/>
    </row>
    <row r="21" spans="1:10" s="5" customFormat="1" x14ac:dyDescent="0.2">
      <c r="A21" s="16" t="s">
        <v>85</v>
      </c>
      <c r="B21" s="384">
        <v>3494.54</v>
      </c>
      <c r="C21" s="384"/>
      <c r="D21" s="201"/>
    </row>
    <row r="22" spans="1:10" s="5" customFormat="1" x14ac:dyDescent="0.2">
      <c r="A22" s="16" t="s">
        <v>86</v>
      </c>
      <c r="B22" s="385" t="s">
        <v>117</v>
      </c>
      <c r="C22" s="385"/>
      <c r="D22" s="202"/>
    </row>
    <row r="23" spans="1:10" s="5" customFormat="1" x14ac:dyDescent="0.2">
      <c r="A23" s="16" t="s">
        <v>87</v>
      </c>
      <c r="B23" s="386">
        <v>44927</v>
      </c>
      <c r="C23" s="386"/>
      <c r="D23" s="203"/>
    </row>
    <row r="24" spans="1:10" s="3" customFormat="1" ht="6" customHeight="1" x14ac:dyDescent="0.25">
      <c r="A24" s="371"/>
      <c r="B24" s="372"/>
      <c r="C24" s="373"/>
      <c r="D24" s="204"/>
      <c r="E24" s="53"/>
      <c r="F24" s="53"/>
      <c r="G24" s="53"/>
      <c r="H24" s="53"/>
      <c r="I24" s="53"/>
      <c r="J24" s="53"/>
    </row>
    <row r="25" spans="1:10" x14ac:dyDescent="0.25">
      <c r="A25" s="17" t="s">
        <v>3</v>
      </c>
      <c r="B25" s="18"/>
      <c r="C25" s="19">
        <v>2023</v>
      </c>
      <c r="D25" s="19" t="s">
        <v>444</v>
      </c>
    </row>
    <row r="26" spans="1:10" x14ac:dyDescent="0.25">
      <c r="A26" s="20" t="s">
        <v>4</v>
      </c>
      <c r="B26" s="21"/>
      <c r="C26" s="22" t="s">
        <v>5</v>
      </c>
      <c r="D26" s="22" t="s">
        <v>5</v>
      </c>
    </row>
    <row r="27" spans="1:10" x14ac:dyDescent="0.25">
      <c r="A27" s="13" t="s">
        <v>6</v>
      </c>
      <c r="B27" s="14">
        <v>1</v>
      </c>
      <c r="C27" s="15">
        <f>B21</f>
        <v>3494.54</v>
      </c>
      <c r="D27" s="15">
        <v>3669.27</v>
      </c>
    </row>
    <row r="28" spans="1:10" x14ac:dyDescent="0.25">
      <c r="A28" s="13" t="s">
        <v>7</v>
      </c>
      <c r="B28" s="14">
        <v>0.3</v>
      </c>
      <c r="C28" s="15">
        <f>C27*30%</f>
        <v>1048.3619999999999</v>
      </c>
      <c r="D28" s="15">
        <f>D27*30%</f>
        <v>1100.7809999999999</v>
      </c>
    </row>
    <row r="29" spans="1:10" x14ac:dyDescent="0.25">
      <c r="A29" s="13" t="s">
        <v>8</v>
      </c>
      <c r="B29" s="14"/>
      <c r="C29" s="15"/>
      <c r="D29" s="15"/>
    </row>
    <row r="30" spans="1:10" x14ac:dyDescent="0.25">
      <c r="A30" s="13" t="s">
        <v>9</v>
      </c>
      <c r="B30" s="14"/>
      <c r="C30" s="15"/>
      <c r="D30" s="15"/>
    </row>
    <row r="31" spans="1:10" x14ac:dyDescent="0.25">
      <c r="A31" s="13" t="s">
        <v>10</v>
      </c>
      <c r="B31" s="14"/>
      <c r="C31" s="15"/>
      <c r="D31" s="15"/>
    </row>
    <row r="32" spans="1:10" s="5" customFormat="1" x14ac:dyDescent="0.25">
      <c r="A32" s="44" t="s">
        <v>340</v>
      </c>
      <c r="B32" s="14"/>
      <c r="C32" s="46"/>
      <c r="D32" s="46"/>
    </row>
    <row r="33" spans="1:10" x14ac:dyDescent="0.25">
      <c r="A33" s="24" t="s">
        <v>11</v>
      </c>
      <c r="B33" s="25"/>
      <c r="C33" s="26">
        <f>SUM(C27:C32)</f>
        <v>4542.902</v>
      </c>
      <c r="D33" s="26">
        <f>SUM(D27:D32)</f>
        <v>4770.0509999999995</v>
      </c>
      <c r="E33" s="5"/>
    </row>
    <row r="34" spans="1:10" s="3" customFormat="1" ht="6" customHeight="1" x14ac:dyDescent="0.25">
      <c r="A34" s="387"/>
      <c r="B34" s="388"/>
      <c r="C34" s="389"/>
      <c r="D34" s="205"/>
      <c r="E34" s="54"/>
      <c r="F34" s="54"/>
      <c r="G34" s="54"/>
      <c r="H34" s="54"/>
      <c r="I34" s="54"/>
      <c r="J34" s="54"/>
    </row>
    <row r="35" spans="1:10" x14ac:dyDescent="0.25">
      <c r="A35" s="17" t="s">
        <v>32</v>
      </c>
      <c r="B35" s="18"/>
      <c r="C35" s="19"/>
      <c r="D35" s="19"/>
    </row>
    <row r="36" spans="1:10" x14ac:dyDescent="0.25">
      <c r="A36" s="29" t="s">
        <v>33</v>
      </c>
      <c r="B36" s="30"/>
      <c r="C36" s="31"/>
      <c r="D36" s="31"/>
    </row>
    <row r="37" spans="1:10" x14ac:dyDescent="0.25">
      <c r="A37" s="20" t="s">
        <v>98</v>
      </c>
      <c r="B37" s="32"/>
      <c r="C37" s="22" t="s">
        <v>30</v>
      </c>
      <c r="D37" s="22" t="s">
        <v>30</v>
      </c>
    </row>
    <row r="38" spans="1:10" x14ac:dyDescent="0.25">
      <c r="A38" s="13" t="s">
        <v>53</v>
      </c>
      <c r="B38" s="14">
        <f>'Memória de Cálculo'!E29</f>
        <v>8.3299999999999999E-2</v>
      </c>
      <c r="C38" s="15">
        <f>B38*C$33</f>
        <v>378.42373659999998</v>
      </c>
      <c r="D38" s="15">
        <f>B$38*D$33</f>
        <v>397.34524829999998</v>
      </c>
    </row>
    <row r="39" spans="1:10" x14ac:dyDescent="0.25">
      <c r="A39" s="13" t="s">
        <v>52</v>
      </c>
      <c r="B39" s="33">
        <f>'Memória de Cálculo'!E30</f>
        <v>0.1111</v>
      </c>
      <c r="C39" s="34">
        <f>C33*B39</f>
        <v>504.71641220000004</v>
      </c>
      <c r="D39" s="34">
        <f>D$33*B$39</f>
        <v>529.95266609999999</v>
      </c>
    </row>
    <row r="40" spans="1:10" x14ac:dyDescent="0.25">
      <c r="A40" s="35" t="s">
        <v>61</v>
      </c>
      <c r="B40" s="75">
        <f>SUM(B38:B39)</f>
        <v>0.19440000000000002</v>
      </c>
      <c r="C40" s="36">
        <f>SUM(C38:C39)</f>
        <v>883.14014880000002</v>
      </c>
      <c r="D40" s="36">
        <f>SUM(D38:D39)</f>
        <v>927.29791439999997</v>
      </c>
    </row>
    <row r="41" spans="1:10" x14ac:dyDescent="0.25">
      <c r="A41" s="13" t="s">
        <v>221</v>
      </c>
      <c r="B41" s="33">
        <f>'Memória de Cálculo'!E32</f>
        <v>6.8623200000000009E-2</v>
      </c>
      <c r="C41" s="34">
        <f>C33*B41</f>
        <v>311.74847252640006</v>
      </c>
      <c r="D41" s="34">
        <f>D$33*B$41</f>
        <v>327.33616378319999</v>
      </c>
    </row>
    <row r="42" spans="1:10" x14ac:dyDescent="0.25">
      <c r="A42" s="55" t="s">
        <v>0</v>
      </c>
      <c r="B42" s="68">
        <f>SUM(B40:B41)</f>
        <v>0.26302320000000001</v>
      </c>
      <c r="C42" s="56">
        <f>SUM(C40:C41)</f>
        <v>1194.8886213264</v>
      </c>
      <c r="D42" s="56">
        <f>SUM(D40:D41)</f>
        <v>1254.6340781832</v>
      </c>
      <c r="E42" s="148">
        <f>B42</f>
        <v>0.26302320000000001</v>
      </c>
      <c r="F42" s="67"/>
    </row>
    <row r="43" spans="1:10" s="3" customFormat="1" ht="6" customHeight="1" x14ac:dyDescent="0.25">
      <c r="A43" s="371"/>
      <c r="B43" s="372"/>
      <c r="C43" s="373"/>
      <c r="D43" s="204"/>
      <c r="E43" s="54"/>
      <c r="F43" s="54"/>
      <c r="G43" s="54"/>
      <c r="H43" s="54"/>
      <c r="I43" s="54"/>
      <c r="J43" s="54"/>
    </row>
    <row r="44" spans="1:10" ht="27" customHeight="1" x14ac:dyDescent="0.25">
      <c r="A44" s="390" t="s">
        <v>54</v>
      </c>
      <c r="B44" s="390"/>
      <c r="C44" s="390"/>
      <c r="D44" s="206"/>
    </row>
    <row r="45" spans="1:10" x14ac:dyDescent="0.25">
      <c r="A45" s="13" t="s">
        <v>15</v>
      </c>
      <c r="B45" s="14">
        <f>'Memória de Cálculo'!E37</f>
        <v>0.2</v>
      </c>
      <c r="C45" s="15">
        <f t="shared" ref="C45:C52" si="0">B45*(C$33)</f>
        <v>908.58040000000005</v>
      </c>
      <c r="D45" s="15">
        <f>B$45*(D$33)</f>
        <v>954.01019999999994</v>
      </c>
    </row>
    <row r="46" spans="1:10" x14ac:dyDescent="0.25">
      <c r="A46" s="13" t="s">
        <v>55</v>
      </c>
      <c r="B46" s="14">
        <f>'Memória de Cálculo'!E38</f>
        <v>2.5000000000000001E-2</v>
      </c>
      <c r="C46" s="15">
        <f t="shared" si="0"/>
        <v>113.57255000000001</v>
      </c>
      <c r="D46" s="15">
        <f>B$46*(D$33)</f>
        <v>119.25127499999999</v>
      </c>
    </row>
    <row r="47" spans="1:10" x14ac:dyDescent="0.25">
      <c r="A47" s="13" t="s">
        <v>63</v>
      </c>
      <c r="B47" s="14">
        <f>'Memória de Cálculo'!E39</f>
        <v>1.4999999999999999E-2</v>
      </c>
      <c r="C47" s="15">
        <f t="shared" si="0"/>
        <v>68.143529999999998</v>
      </c>
      <c r="D47" s="15">
        <f>B$47*(D$33)</f>
        <v>71.550764999999984</v>
      </c>
    </row>
    <row r="48" spans="1:10" x14ac:dyDescent="0.25">
      <c r="A48" s="13" t="s">
        <v>56</v>
      </c>
      <c r="B48" s="14">
        <f>'Memória de Cálculo'!E40</f>
        <v>0.01</v>
      </c>
      <c r="C48" s="15">
        <f t="shared" si="0"/>
        <v>45.429020000000001</v>
      </c>
      <c r="D48" s="15">
        <f>B$48*(D$33)</f>
        <v>47.700509999999994</v>
      </c>
    </row>
    <row r="49" spans="1:10" x14ac:dyDescent="0.25">
      <c r="A49" s="13" t="s">
        <v>57</v>
      </c>
      <c r="B49" s="14">
        <f>'Memória de Cálculo'!E41</f>
        <v>1.4999999999999999E-2</v>
      </c>
      <c r="C49" s="15">
        <f t="shared" si="0"/>
        <v>68.143529999999998</v>
      </c>
      <c r="D49" s="15">
        <f>B$49*(D$33)</f>
        <v>71.550764999999984</v>
      </c>
    </row>
    <row r="50" spans="1:10" x14ac:dyDescent="0.25">
      <c r="A50" s="13" t="s">
        <v>58</v>
      </c>
      <c r="B50" s="14">
        <f>'Memória de Cálculo'!E42</f>
        <v>6.0000000000000001E-3</v>
      </c>
      <c r="C50" s="15">
        <f t="shared" si="0"/>
        <v>27.257412000000002</v>
      </c>
      <c r="D50" s="15">
        <f>B$50*(D$33)</f>
        <v>28.620305999999996</v>
      </c>
    </row>
    <row r="51" spans="1:10" x14ac:dyDescent="0.25">
      <c r="A51" s="13" t="s">
        <v>59</v>
      </c>
      <c r="B51" s="14">
        <f>'Memória de Cálculo'!E43</f>
        <v>2E-3</v>
      </c>
      <c r="C51" s="15">
        <f t="shared" si="0"/>
        <v>9.0858039999999995</v>
      </c>
      <c r="D51" s="15">
        <f>B$51*(D$33)</f>
        <v>9.5401019999999992</v>
      </c>
    </row>
    <row r="52" spans="1:10" x14ac:dyDescent="0.25">
      <c r="A52" s="13" t="s">
        <v>60</v>
      </c>
      <c r="B52" s="14">
        <f>'Memória de Cálculo'!E44</f>
        <v>0.08</v>
      </c>
      <c r="C52" s="15">
        <f t="shared" si="0"/>
        <v>363.43216000000001</v>
      </c>
      <c r="D52" s="15">
        <f>B$52*(D$33)</f>
        <v>381.60407999999995</v>
      </c>
    </row>
    <row r="53" spans="1:10" x14ac:dyDescent="0.25">
      <c r="A53" s="55" t="s">
        <v>0</v>
      </c>
      <c r="B53" s="68">
        <f>SUM(B45:B52)</f>
        <v>0.35300000000000004</v>
      </c>
      <c r="C53" s="56">
        <f>SUM(C45:C52)</f>
        <v>1603.6444060000001</v>
      </c>
      <c r="D53" s="56">
        <f>SUM(D45:D52)</f>
        <v>1683.8280029999996</v>
      </c>
      <c r="E53" s="5"/>
    </row>
    <row r="54" spans="1:10" s="3" customFormat="1" ht="6" customHeight="1" x14ac:dyDescent="0.25">
      <c r="A54" s="371"/>
      <c r="B54" s="372"/>
      <c r="C54" s="373"/>
      <c r="D54" s="204"/>
      <c r="E54" s="57"/>
      <c r="F54" s="57"/>
      <c r="G54" s="57"/>
      <c r="H54" s="57"/>
      <c r="I54" s="57"/>
      <c r="J54" s="57"/>
    </row>
    <row r="55" spans="1:10" x14ac:dyDescent="0.25">
      <c r="A55" s="29" t="s">
        <v>34</v>
      </c>
      <c r="B55" s="21"/>
      <c r="C55" s="22" t="s">
        <v>5</v>
      </c>
      <c r="D55" s="22" t="s">
        <v>5</v>
      </c>
    </row>
    <row r="56" spans="1:10" x14ac:dyDescent="0.25">
      <c r="A56" s="13" t="s">
        <v>31</v>
      </c>
      <c r="B56" s="23">
        <v>5.5</v>
      </c>
      <c r="C56" s="15">
        <v>0</v>
      </c>
      <c r="D56" s="15">
        <v>0</v>
      </c>
      <c r="E56" s="151">
        <f>B56*2*15</f>
        <v>165</v>
      </c>
      <c r="F56" s="52">
        <f>C27*6%</f>
        <v>209.67239999999998</v>
      </c>
    </row>
    <row r="57" spans="1:10" x14ac:dyDescent="0.25">
      <c r="A57" s="13" t="s">
        <v>97</v>
      </c>
      <c r="B57" s="23"/>
      <c r="C57" s="150">
        <f>43.62*13</f>
        <v>567.05999999999995</v>
      </c>
      <c r="D57" s="150">
        <f>45.23*13</f>
        <v>587.99</v>
      </c>
    </row>
    <row r="58" spans="1:10" x14ac:dyDescent="0.25">
      <c r="A58" s="13" t="s">
        <v>118</v>
      </c>
      <c r="B58" s="23">
        <v>0.3</v>
      </c>
      <c r="C58" s="15">
        <f>0.3*-13</f>
        <v>-3.9</v>
      </c>
      <c r="D58" s="15">
        <f>0.3*-13</f>
        <v>-3.9</v>
      </c>
      <c r="E58" s="52">
        <f>C57+C58</f>
        <v>563.16</v>
      </c>
    </row>
    <row r="59" spans="1:10" x14ac:dyDescent="0.25">
      <c r="A59" s="13" t="s">
        <v>12</v>
      </c>
      <c r="B59" s="23"/>
      <c r="C59" s="46">
        <v>175.76</v>
      </c>
      <c r="D59" s="46">
        <v>184.55</v>
      </c>
    </row>
    <row r="60" spans="1:10" x14ac:dyDescent="0.25">
      <c r="A60" s="13" t="s">
        <v>65</v>
      </c>
      <c r="B60" s="23"/>
      <c r="C60" s="46">
        <v>12.2</v>
      </c>
      <c r="D60" s="46">
        <v>12.81</v>
      </c>
    </row>
    <row r="61" spans="1:10" x14ac:dyDescent="0.25">
      <c r="A61" s="13" t="s">
        <v>90</v>
      </c>
      <c r="B61" s="23"/>
      <c r="C61" s="46">
        <v>12.14</v>
      </c>
      <c r="D61" s="46">
        <v>15.02</v>
      </c>
    </row>
    <row r="62" spans="1:10" x14ac:dyDescent="0.25">
      <c r="A62" s="13" t="s">
        <v>103</v>
      </c>
      <c r="B62" s="23"/>
      <c r="C62" s="15">
        <v>26.98</v>
      </c>
      <c r="D62" s="15">
        <v>28.33</v>
      </c>
    </row>
    <row r="63" spans="1:10" x14ac:dyDescent="0.25">
      <c r="A63" s="58" t="s">
        <v>0</v>
      </c>
      <c r="B63" s="59"/>
      <c r="C63" s="60">
        <f>SUM(C57:C62)</f>
        <v>790.24</v>
      </c>
      <c r="D63" s="60">
        <f>SUM(D57:D62)</f>
        <v>824.80000000000007</v>
      </c>
      <c r="E63" s="5"/>
    </row>
    <row r="64" spans="1:10" s="61" customFormat="1" ht="6" customHeight="1" x14ac:dyDescent="0.25">
      <c r="A64" s="371"/>
      <c r="B64" s="372"/>
      <c r="C64" s="373"/>
      <c r="D64" s="204"/>
      <c r="E64" s="53"/>
      <c r="F64" s="53"/>
      <c r="G64" s="53"/>
      <c r="H64" s="53"/>
      <c r="I64" s="53"/>
      <c r="J64" s="53"/>
    </row>
    <row r="65" spans="1:6" x14ac:dyDescent="0.25">
      <c r="A65" s="29" t="s">
        <v>35</v>
      </c>
      <c r="B65" s="30"/>
      <c r="C65" s="31"/>
      <c r="D65" s="31"/>
    </row>
    <row r="66" spans="1:6" x14ac:dyDescent="0.25">
      <c r="A66" s="82" t="s">
        <v>64</v>
      </c>
      <c r="B66" s="82"/>
      <c r="C66" s="22" t="s">
        <v>30</v>
      </c>
      <c r="D66" s="22" t="s">
        <v>30</v>
      </c>
    </row>
    <row r="67" spans="1:6" x14ac:dyDescent="0.25">
      <c r="A67" s="37" t="s">
        <v>36</v>
      </c>
      <c r="B67" s="38">
        <f>B42</f>
        <v>0.26302320000000001</v>
      </c>
      <c r="C67" s="15">
        <f>C42</f>
        <v>1194.8886213264</v>
      </c>
      <c r="D67" s="15">
        <f>D42</f>
        <v>1254.6340781832</v>
      </c>
    </row>
    <row r="68" spans="1:6" s="6" customFormat="1" x14ac:dyDescent="0.25">
      <c r="A68" s="37" t="s">
        <v>94</v>
      </c>
      <c r="B68" s="38">
        <f>B53</f>
        <v>0.35300000000000004</v>
      </c>
      <c r="C68" s="15">
        <f>C53</f>
        <v>1603.6444060000001</v>
      </c>
      <c r="D68" s="15">
        <f>D53</f>
        <v>1683.8280029999996</v>
      </c>
    </row>
    <row r="69" spans="1:6" x14ac:dyDescent="0.25">
      <c r="A69" s="37" t="s">
        <v>37</v>
      </c>
      <c r="B69" s="38"/>
      <c r="C69" s="15">
        <f>C63</f>
        <v>790.24</v>
      </c>
      <c r="D69" s="15">
        <f>D63</f>
        <v>824.80000000000007</v>
      </c>
    </row>
    <row r="70" spans="1:6" x14ac:dyDescent="0.25">
      <c r="A70" s="81" t="s">
        <v>0</v>
      </c>
      <c r="B70" s="39">
        <f>SUM(B67:B69)</f>
        <v>0.6160232000000001</v>
      </c>
      <c r="C70" s="26">
        <f>SUM(C67:C69)</f>
        <v>3588.7730273263996</v>
      </c>
      <c r="D70" s="26">
        <f>SUM(D67:D69)</f>
        <v>3763.2620811831998</v>
      </c>
      <c r="E70" s="148">
        <f>B70</f>
        <v>0.6160232000000001</v>
      </c>
      <c r="F70" s="67"/>
    </row>
    <row r="71" spans="1:6" s="5" customFormat="1" ht="6" customHeight="1" x14ac:dyDescent="0.25">
      <c r="A71" s="40"/>
      <c r="B71" s="41"/>
      <c r="C71" s="42"/>
      <c r="D71" s="42"/>
    </row>
    <row r="72" spans="1:6" s="6" customFormat="1" x14ac:dyDescent="0.25">
      <c r="A72" s="17" t="s">
        <v>38</v>
      </c>
      <c r="B72" s="18"/>
      <c r="C72" s="19"/>
      <c r="D72" s="19"/>
    </row>
    <row r="73" spans="1:6" x14ac:dyDescent="0.25">
      <c r="A73" s="20" t="s">
        <v>39</v>
      </c>
      <c r="B73" s="32"/>
      <c r="C73" s="22" t="s">
        <v>30</v>
      </c>
      <c r="D73" s="22" t="s">
        <v>30</v>
      </c>
    </row>
    <row r="74" spans="1:6" x14ac:dyDescent="0.25">
      <c r="A74" s="13" t="s">
        <v>16</v>
      </c>
      <c r="B74" s="45">
        <f>'Memória de Cálculo'!E76</f>
        <v>4.1666666666666664E-4</v>
      </c>
      <c r="C74" s="15">
        <f t="shared" ref="C74:C79" si="1">B74*C$33</f>
        <v>1.8928758333333333</v>
      </c>
      <c r="D74" s="15">
        <f>B$74*D$33</f>
        <v>1.9875212499999997</v>
      </c>
      <c r="F74" s="71"/>
    </row>
    <row r="75" spans="1:6" x14ac:dyDescent="0.25">
      <c r="A75" s="43" t="s">
        <v>17</v>
      </c>
      <c r="B75" s="154">
        <f>'Memória de Cálculo'!E77</f>
        <v>3.3333333333333335E-5</v>
      </c>
      <c r="C75" s="15">
        <f>B75*C$33</f>
        <v>0.15143006666666667</v>
      </c>
      <c r="D75" s="15">
        <f>B$75*D$33</f>
        <v>0.1590017</v>
      </c>
    </row>
    <row r="76" spans="1:6" s="1" customFormat="1" x14ac:dyDescent="0.25">
      <c r="A76" s="43" t="s">
        <v>95</v>
      </c>
      <c r="B76" s="45">
        <f>'Memória de Cálculo'!E78</f>
        <v>1.6666666666666666E-4</v>
      </c>
      <c r="C76" s="15">
        <f>B76*C$33</f>
        <v>0.75715033333333337</v>
      </c>
      <c r="D76" s="15">
        <f>B$76*D$33</f>
        <v>0.7950084999999999</v>
      </c>
    </row>
    <row r="77" spans="1:6" s="5" customFormat="1" x14ac:dyDescent="0.25">
      <c r="A77" s="44" t="s">
        <v>96</v>
      </c>
      <c r="B77" s="45">
        <f>'Memória de Cálculo'!E79</f>
        <v>1.9444444444444446E-4</v>
      </c>
      <c r="C77" s="46">
        <f t="shared" si="1"/>
        <v>0.88334205555555567</v>
      </c>
      <c r="D77" s="46">
        <f>B$77*D$33</f>
        <v>0.9275099166666666</v>
      </c>
    </row>
    <row r="78" spans="1:6" x14ac:dyDescent="0.25">
      <c r="A78" s="43" t="s">
        <v>104</v>
      </c>
      <c r="B78" s="45">
        <f>'Memória de Cálculo'!E80</f>
        <v>6.8638888888888902E-5</v>
      </c>
      <c r="C78" s="15">
        <f t="shared" si="1"/>
        <v>0.3118197456111112</v>
      </c>
      <c r="D78" s="15">
        <f>B$78*D$33</f>
        <v>0.32741100058333339</v>
      </c>
    </row>
    <row r="79" spans="1:6" x14ac:dyDescent="0.25">
      <c r="A79" s="43" t="s">
        <v>105</v>
      </c>
      <c r="B79" s="45">
        <f>'Memória de Cálculo'!E81</f>
        <v>3.9833333333333332E-2</v>
      </c>
      <c r="C79" s="15">
        <f t="shared" si="1"/>
        <v>180.95892966666665</v>
      </c>
      <c r="D79" s="15">
        <f>B$79*D$33</f>
        <v>190.00703149999998</v>
      </c>
      <c r="E79" s="67">
        <f>B79+B76</f>
        <v>0.04</v>
      </c>
      <c r="F79" s="4" t="s">
        <v>409</v>
      </c>
    </row>
    <row r="80" spans="1:6" x14ac:dyDescent="0.25">
      <c r="A80" s="81" t="s">
        <v>18</v>
      </c>
      <c r="B80" s="39">
        <f>SUM(B74:B79)</f>
        <v>4.071308333333333E-2</v>
      </c>
      <c r="C80" s="26">
        <f>SUM(C74:C79)</f>
        <v>184.95554770116664</v>
      </c>
      <c r="D80" s="26">
        <f>SUM(D74:D79)</f>
        <v>194.20348386724999</v>
      </c>
      <c r="E80" s="148">
        <f>B80</f>
        <v>4.071308333333333E-2</v>
      </c>
    </row>
    <row r="81" spans="1:7" ht="6" customHeight="1" x14ac:dyDescent="0.25">
      <c r="A81" s="27"/>
      <c r="B81" s="33"/>
      <c r="C81" s="28"/>
      <c r="D81" s="28"/>
    </row>
    <row r="82" spans="1:7" s="6" customFormat="1" x14ac:dyDescent="0.25">
      <c r="A82" s="17" t="s">
        <v>40</v>
      </c>
      <c r="B82" s="18"/>
      <c r="C82" s="19"/>
      <c r="D82" s="19"/>
    </row>
    <row r="83" spans="1:7" x14ac:dyDescent="0.25">
      <c r="A83" s="20" t="s">
        <v>107</v>
      </c>
      <c r="B83" s="32"/>
      <c r="C83" s="22" t="s">
        <v>30</v>
      </c>
      <c r="D83" s="22" t="s">
        <v>30</v>
      </c>
    </row>
    <row r="84" spans="1:7" x14ac:dyDescent="0.25">
      <c r="A84" s="13" t="s">
        <v>344</v>
      </c>
      <c r="B84" s="45">
        <v>9.9000000000000008E-3</v>
      </c>
      <c r="C84" s="15">
        <f t="shared" ref="C84:C88" si="2">B84*C$33</f>
        <v>44.974729800000006</v>
      </c>
      <c r="D84" s="15">
        <f>B$84*D$33</f>
        <v>47.223504900000002</v>
      </c>
      <c r="E84" s="67">
        <f>B84+B39</f>
        <v>0.12100000000000001</v>
      </c>
      <c r="F84" s="4" t="s">
        <v>409</v>
      </c>
    </row>
    <row r="85" spans="1:7" x14ac:dyDescent="0.25">
      <c r="A85" s="13" t="s">
        <v>108</v>
      </c>
      <c r="B85" s="14">
        <f>'Memória de Cálculo'!E87</f>
        <v>1E-4</v>
      </c>
      <c r="C85" s="15">
        <f t="shared" si="2"/>
        <v>0.45429020000000003</v>
      </c>
      <c r="D85" s="15">
        <f>B$85*D$33</f>
        <v>0.47700509999999996</v>
      </c>
    </row>
    <row r="86" spans="1:7" x14ac:dyDescent="0.25">
      <c r="A86" s="13" t="s">
        <v>109</v>
      </c>
      <c r="B86" s="14">
        <f>'Memória de Cálculo'!E88</f>
        <v>1E-4</v>
      </c>
      <c r="C86" s="15">
        <f t="shared" si="2"/>
        <v>0.45429020000000003</v>
      </c>
      <c r="D86" s="15">
        <f>B$86*D$33</f>
        <v>0.47700509999999996</v>
      </c>
    </row>
    <row r="87" spans="1:7" x14ac:dyDescent="0.25">
      <c r="A87" s="13" t="s">
        <v>110</v>
      </c>
      <c r="B87" s="14">
        <f>'Memória de Cálculo'!E89</f>
        <v>2.0000000000000001E-4</v>
      </c>
      <c r="C87" s="15">
        <f t="shared" si="2"/>
        <v>0.90858040000000007</v>
      </c>
      <c r="D87" s="15">
        <f>B$87*D$33</f>
        <v>0.95401019999999992</v>
      </c>
    </row>
    <row r="88" spans="1:7" x14ac:dyDescent="0.25">
      <c r="A88" s="13" t="s">
        <v>111</v>
      </c>
      <c r="B88" s="14">
        <f>'Memória de Cálculo'!E90</f>
        <v>1E-4</v>
      </c>
      <c r="C88" s="15">
        <f t="shared" si="2"/>
        <v>0.45429020000000003</v>
      </c>
      <c r="D88" s="15">
        <f>B$88*D$33</f>
        <v>0.47700509999999996</v>
      </c>
    </row>
    <row r="89" spans="1:7" ht="15.75" customHeight="1" x14ac:dyDescent="0.25">
      <c r="A89" s="13" t="s">
        <v>430</v>
      </c>
      <c r="B89" s="14">
        <f>C89/C33</f>
        <v>0</v>
      </c>
      <c r="C89" s="15">
        <v>0</v>
      </c>
      <c r="D89" s="15">
        <v>0</v>
      </c>
      <c r="E89" s="52">
        <f>B57*2</f>
        <v>0</v>
      </c>
      <c r="F89" s="52">
        <f>C89+E89</f>
        <v>0</v>
      </c>
      <c r="G89" s="52">
        <f>F89/2</f>
        <v>0</v>
      </c>
    </row>
    <row r="90" spans="1:7" ht="15.75" customHeight="1" x14ac:dyDescent="0.25">
      <c r="A90" s="391"/>
      <c r="B90" s="392"/>
      <c r="C90" s="393"/>
      <c r="D90" s="207"/>
    </row>
    <row r="91" spans="1:7" ht="15" customHeight="1" x14ac:dyDescent="0.25">
      <c r="A91" s="47" t="s">
        <v>61</v>
      </c>
      <c r="B91" s="33">
        <f>SUM(B84:B89)</f>
        <v>1.04E-2</v>
      </c>
      <c r="C91" s="34">
        <f>SUM(C84:C89)</f>
        <v>47.246180800000012</v>
      </c>
      <c r="D91" s="34">
        <f>SUM(D84:D89)</f>
        <v>49.608530399999999</v>
      </c>
    </row>
    <row r="92" spans="1:7" x14ac:dyDescent="0.25">
      <c r="A92" s="13" t="s">
        <v>221</v>
      </c>
      <c r="B92" s="33">
        <f>'Memória de Cálculo'!E93</f>
        <v>3.6712000000000003E-3</v>
      </c>
      <c r="C92" s="34">
        <f>C33*B92</f>
        <v>16.677901822400003</v>
      </c>
      <c r="D92" s="34">
        <f>D$33*B92</f>
        <v>17.511811231199999</v>
      </c>
      <c r="E92" s="67">
        <f>B84*B53</f>
        <v>3.4947000000000008E-3</v>
      </c>
    </row>
    <row r="93" spans="1:7" x14ac:dyDescent="0.25">
      <c r="A93" s="55" t="s">
        <v>0</v>
      </c>
      <c r="B93" s="68">
        <f>SUM(B91:B92)</f>
        <v>1.4071199999999999E-2</v>
      </c>
      <c r="C93" s="56">
        <f>SUM(C91:C92)</f>
        <v>63.924082622400014</v>
      </c>
      <c r="D93" s="56">
        <f>SUM(D91:D92)</f>
        <v>67.120341631200006</v>
      </c>
      <c r="E93" s="148"/>
      <c r="F93" s="67"/>
    </row>
    <row r="94" spans="1:7" x14ac:dyDescent="0.25">
      <c r="A94" s="20" t="s">
        <v>106</v>
      </c>
      <c r="B94" s="32"/>
      <c r="C94" s="22" t="s">
        <v>5</v>
      </c>
      <c r="D94" s="22" t="s">
        <v>5</v>
      </c>
      <c r="E94" s="67">
        <f>B93+E80+E70</f>
        <v>0.6708074833333334</v>
      </c>
    </row>
    <row r="95" spans="1:7" x14ac:dyDescent="0.25">
      <c r="A95" s="13" t="s">
        <v>414</v>
      </c>
      <c r="B95" s="14">
        <f>C95/C33</f>
        <v>0</v>
      </c>
      <c r="C95" s="48">
        <v>0</v>
      </c>
      <c r="D95" s="48">
        <v>0</v>
      </c>
      <c r="E95" s="52"/>
    </row>
    <row r="96" spans="1:7" ht="6" customHeight="1" x14ac:dyDescent="0.25">
      <c r="A96" s="27"/>
      <c r="B96" s="33"/>
      <c r="C96" s="28"/>
      <c r="D96" s="28"/>
    </row>
    <row r="97" spans="1:10" ht="15" customHeight="1" x14ac:dyDescent="0.25">
      <c r="A97" s="81" t="s">
        <v>41</v>
      </c>
      <c r="B97" s="39"/>
      <c r="C97" s="26">
        <f>SUM(C94:C95)</f>
        <v>0</v>
      </c>
      <c r="D97" s="26">
        <f>SUM(D94:D95)</f>
        <v>0</v>
      </c>
      <c r="E97" s="67"/>
    </row>
    <row r="98" spans="1:10" s="3" customFormat="1" ht="6" customHeight="1" x14ac:dyDescent="0.25">
      <c r="A98" s="371"/>
      <c r="B98" s="372"/>
      <c r="C98" s="373"/>
      <c r="D98" s="204"/>
      <c r="E98" s="62"/>
      <c r="F98" s="62"/>
      <c r="G98" s="62"/>
      <c r="H98" s="62"/>
      <c r="I98" s="62"/>
      <c r="J98" s="62"/>
    </row>
    <row r="99" spans="1:10" x14ac:dyDescent="0.25">
      <c r="A99" s="29" t="s">
        <v>112</v>
      </c>
      <c r="B99" s="30"/>
      <c r="C99" s="31"/>
      <c r="D99" s="31"/>
    </row>
    <row r="100" spans="1:10" x14ac:dyDescent="0.25">
      <c r="A100" s="82" t="s">
        <v>113</v>
      </c>
      <c r="B100" s="82"/>
      <c r="C100" s="22" t="s">
        <v>5</v>
      </c>
      <c r="D100" s="22" t="s">
        <v>5</v>
      </c>
    </row>
    <row r="101" spans="1:10" x14ac:dyDescent="0.25">
      <c r="A101" s="37" t="s">
        <v>114</v>
      </c>
      <c r="B101" s="38">
        <f>B91</f>
        <v>1.04E-2</v>
      </c>
      <c r="C101" s="15">
        <f>C93</f>
        <v>63.924082622400014</v>
      </c>
      <c r="D101" s="15">
        <f>D93</f>
        <v>67.120341631200006</v>
      </c>
    </row>
    <row r="102" spans="1:10" x14ac:dyDescent="0.25">
      <c r="A102" s="37" t="s">
        <v>417</v>
      </c>
      <c r="B102" s="38">
        <f>B95</f>
        <v>0</v>
      </c>
      <c r="C102" s="15">
        <f>C95</f>
        <v>0</v>
      </c>
      <c r="D102" s="15">
        <f>D95</f>
        <v>0</v>
      </c>
    </row>
    <row r="103" spans="1:10" x14ac:dyDescent="0.25">
      <c r="A103" s="81" t="s">
        <v>0</v>
      </c>
      <c r="B103" s="39">
        <f>SUM(B102:B102)</f>
        <v>0</v>
      </c>
      <c r="C103" s="26">
        <f>SUM(C101:C102)</f>
        <v>63.924082622400014</v>
      </c>
      <c r="D103" s="26">
        <f>SUM(D101:D102)</f>
        <v>67.120341631200006</v>
      </c>
    </row>
    <row r="104" spans="1:10" s="5" customFormat="1" ht="6" customHeight="1" x14ac:dyDescent="0.25">
      <c r="A104" s="40"/>
      <c r="B104" s="41"/>
      <c r="C104" s="42"/>
      <c r="D104" s="42"/>
    </row>
    <row r="105" spans="1:10" s="6" customFormat="1" x14ac:dyDescent="0.25">
      <c r="A105" s="17" t="s">
        <v>42</v>
      </c>
      <c r="B105" s="18"/>
      <c r="C105" s="19"/>
      <c r="D105" s="19"/>
    </row>
    <row r="106" spans="1:10" x14ac:dyDescent="0.25">
      <c r="A106" s="20" t="s">
        <v>43</v>
      </c>
      <c r="B106" s="21"/>
      <c r="C106" s="22" t="s">
        <v>5</v>
      </c>
      <c r="D106" s="22" t="s">
        <v>5</v>
      </c>
    </row>
    <row r="107" spans="1:10" x14ac:dyDescent="0.25">
      <c r="A107" s="13" t="s">
        <v>13</v>
      </c>
      <c r="B107" s="23"/>
      <c r="C107" s="15">
        <f>Uniformes!I12</f>
        <v>109.66666666666667</v>
      </c>
      <c r="D107" s="15">
        <f>C107</f>
        <v>109.66666666666667</v>
      </c>
    </row>
    <row r="108" spans="1:10" x14ac:dyDescent="0.25">
      <c r="A108" s="13" t="s">
        <v>336</v>
      </c>
      <c r="B108" s="23"/>
      <c r="C108" s="15">
        <f>'epi''s'!I15</f>
        <v>7.5</v>
      </c>
      <c r="D108" s="15">
        <f>C108</f>
        <v>7.5</v>
      </c>
    </row>
    <row r="109" spans="1:10" x14ac:dyDescent="0.25">
      <c r="A109" s="13" t="s">
        <v>337</v>
      </c>
      <c r="B109" s="23"/>
      <c r="C109" s="15">
        <f>'Materiais 1ºs socorros'!F36</f>
        <v>20.435714285714287</v>
      </c>
      <c r="D109" s="15">
        <f>C109</f>
        <v>20.435714285714287</v>
      </c>
    </row>
    <row r="110" spans="1:10" x14ac:dyDescent="0.25">
      <c r="A110" s="13" t="s">
        <v>338</v>
      </c>
      <c r="B110" s="23"/>
      <c r="C110" s="15">
        <f>'Materiais e Equipamentos'!F14+('Materiais e Equipamentos'!F22/2)+'Materiais e Equipamentos'!F29</f>
        <v>9.1571428571428566</v>
      </c>
      <c r="D110" s="15">
        <f>C110</f>
        <v>9.1571428571428566</v>
      </c>
    </row>
    <row r="111" spans="1:10" x14ac:dyDescent="0.25">
      <c r="A111" s="13" t="s">
        <v>339</v>
      </c>
      <c r="B111" s="23"/>
      <c r="C111" s="15">
        <f>Ferramentas!F31</f>
        <v>2.9467499999999993</v>
      </c>
      <c r="D111" s="15">
        <f>C111</f>
        <v>2.9467499999999993</v>
      </c>
    </row>
    <row r="112" spans="1:10" x14ac:dyDescent="0.25">
      <c r="A112" s="81" t="s">
        <v>14</v>
      </c>
      <c r="B112" s="39"/>
      <c r="C112" s="26">
        <f>SUM(C107:C111)</f>
        <v>149.70627380952382</v>
      </c>
      <c r="D112" s="26">
        <f>SUM(D107:D111)</f>
        <v>149.70627380952382</v>
      </c>
    </row>
    <row r="113" spans="1:10" s="3" customFormat="1" ht="6" customHeight="1" x14ac:dyDescent="0.25">
      <c r="A113" s="371"/>
      <c r="B113" s="372"/>
      <c r="C113" s="373"/>
      <c r="D113" s="204"/>
      <c r="E113" s="62"/>
      <c r="F113" s="62"/>
      <c r="G113" s="62"/>
      <c r="H113" s="62"/>
      <c r="I113" s="62"/>
      <c r="J113" s="62"/>
    </row>
    <row r="114" spans="1:10" x14ac:dyDescent="0.25">
      <c r="A114" s="17" t="s">
        <v>44</v>
      </c>
      <c r="B114" s="18"/>
      <c r="C114" s="19"/>
      <c r="D114" s="19"/>
    </row>
    <row r="115" spans="1:10" x14ac:dyDescent="0.25">
      <c r="A115" s="20" t="s">
        <v>45</v>
      </c>
      <c r="B115" s="21"/>
      <c r="C115" s="49" t="s">
        <v>5</v>
      </c>
      <c r="D115" s="49" t="s">
        <v>5</v>
      </c>
    </row>
    <row r="116" spans="1:10" x14ac:dyDescent="0.25">
      <c r="A116" s="13" t="s">
        <v>19</v>
      </c>
      <c r="B116" s="14">
        <v>8.2600209999999993E-3</v>
      </c>
      <c r="C116" s="15">
        <f>C132*B116</f>
        <v>70.460134429334943</v>
      </c>
      <c r="D116" s="15">
        <f>D$132*B$116</f>
        <v>73.880462502063878</v>
      </c>
      <c r="E116" s="52">
        <f>Proposta!K29</f>
        <v>3517522.22</v>
      </c>
      <c r="F116" s="83"/>
    </row>
    <row r="117" spans="1:10" x14ac:dyDescent="0.25">
      <c r="A117" s="13" t="s">
        <v>20</v>
      </c>
      <c r="B117" s="14">
        <v>5.0000000000000001E-3</v>
      </c>
      <c r="C117" s="15">
        <f>(C132+C116)*B117</f>
        <v>43.003605329444127</v>
      </c>
      <c r="D117" s="15">
        <f>(D132+D116)*B$117</f>
        <v>45.091118214966194</v>
      </c>
      <c r="E117" s="83">
        <f ca="1">Proposta!I29</f>
        <v>3674272.1453683339</v>
      </c>
      <c r="F117" s="83"/>
    </row>
    <row r="118" spans="1:10" x14ac:dyDescent="0.25">
      <c r="A118" s="13" t="s">
        <v>21</v>
      </c>
      <c r="B118" s="14">
        <f>SUM(B119:B121)</f>
        <v>8.6499999999999994E-2</v>
      </c>
      <c r="C118" s="15">
        <f ca="1">C134*B118</f>
        <v>818.48077072838555</v>
      </c>
      <c r="D118" s="15">
        <f ca="1">D134*B$118</f>
        <v>858.21207098468483</v>
      </c>
      <c r="F118" s="83"/>
    </row>
    <row r="119" spans="1:10" x14ac:dyDescent="0.25">
      <c r="A119" s="13" t="s">
        <v>89</v>
      </c>
      <c r="B119" s="69">
        <v>3.6499999999999998E-2</v>
      </c>
      <c r="C119" s="70">
        <f ca="1">C134*B119</f>
        <v>345.3704986310529</v>
      </c>
      <c r="D119" s="70">
        <f ca="1">D134*B$119</f>
        <v>362.1357293750404</v>
      </c>
    </row>
    <row r="120" spans="1:10" x14ac:dyDescent="0.25">
      <c r="A120" s="13" t="s">
        <v>22</v>
      </c>
      <c r="B120" s="69">
        <v>0</v>
      </c>
      <c r="C120" s="70"/>
      <c r="D120" s="70"/>
      <c r="F120" s="83"/>
    </row>
    <row r="121" spans="1:10" x14ac:dyDescent="0.25">
      <c r="A121" s="13" t="s">
        <v>23</v>
      </c>
      <c r="B121" s="69">
        <v>0.05</v>
      </c>
      <c r="C121" s="70">
        <f ca="1">C134*B121</f>
        <v>473.11027209733277</v>
      </c>
      <c r="D121" s="70">
        <f ca="1">D134*B$121</f>
        <v>496.07634160964449</v>
      </c>
      <c r="F121" s="83"/>
    </row>
    <row r="122" spans="1:10" x14ac:dyDescent="0.25">
      <c r="A122" s="13" t="s">
        <v>24</v>
      </c>
      <c r="B122" s="23"/>
      <c r="C122" s="15"/>
      <c r="D122" s="15"/>
    </row>
    <row r="123" spans="1:10" x14ac:dyDescent="0.25">
      <c r="A123" s="81" t="s">
        <v>25</v>
      </c>
      <c r="B123" s="39"/>
      <c r="C123" s="26">
        <f ca="1">SUM(C116:C118)</f>
        <v>931.94451048716462</v>
      </c>
      <c r="D123" s="26">
        <f ca="1">SUM(D116:D118)</f>
        <v>977.18365170171489</v>
      </c>
      <c r="F123" s="83"/>
    </row>
    <row r="124" spans="1:10" s="3" customFormat="1" ht="6" customHeight="1" x14ac:dyDescent="0.25">
      <c r="A124" s="371"/>
      <c r="B124" s="372"/>
      <c r="C124" s="373"/>
      <c r="D124" s="204"/>
      <c r="E124" s="62"/>
      <c r="F124" s="62"/>
      <c r="G124" s="62"/>
      <c r="H124" s="62"/>
      <c r="I124" s="62"/>
      <c r="J124" s="62"/>
    </row>
    <row r="125" spans="1:10" x14ac:dyDescent="0.25">
      <c r="A125" s="375" t="s">
        <v>26</v>
      </c>
      <c r="B125" s="375"/>
      <c r="C125" s="375"/>
      <c r="D125" s="208"/>
    </row>
    <row r="126" spans="1:10" x14ac:dyDescent="0.25">
      <c r="A126" s="376" t="s">
        <v>27</v>
      </c>
      <c r="B126" s="376"/>
      <c r="C126" s="22" t="s">
        <v>5</v>
      </c>
      <c r="D126" s="22" t="s">
        <v>5</v>
      </c>
    </row>
    <row r="127" spans="1:10" x14ac:dyDescent="0.25">
      <c r="A127" s="377" t="s">
        <v>28</v>
      </c>
      <c r="B127" s="377"/>
      <c r="C127" s="28">
        <f>C33</f>
        <v>4542.902</v>
      </c>
      <c r="D127" s="28">
        <f>D33</f>
        <v>4770.0509999999995</v>
      </c>
    </row>
    <row r="128" spans="1:10" x14ac:dyDescent="0.25">
      <c r="A128" s="377" t="s">
        <v>46</v>
      </c>
      <c r="B128" s="377"/>
      <c r="C128" s="28">
        <f>C70</f>
        <v>3588.7730273263996</v>
      </c>
      <c r="D128" s="28">
        <f>D70</f>
        <v>3763.2620811831998</v>
      </c>
    </row>
    <row r="129" spans="1:6" x14ac:dyDescent="0.25">
      <c r="A129" s="377" t="s">
        <v>47</v>
      </c>
      <c r="B129" s="377"/>
      <c r="C129" s="28">
        <f>C80</f>
        <v>184.95554770116664</v>
      </c>
      <c r="D129" s="28">
        <f>D80</f>
        <v>194.20348386724999</v>
      </c>
    </row>
    <row r="130" spans="1:6" x14ac:dyDescent="0.25">
      <c r="A130" s="377" t="s">
        <v>48</v>
      </c>
      <c r="B130" s="377"/>
      <c r="C130" s="28">
        <f>C103</f>
        <v>63.924082622400014</v>
      </c>
      <c r="D130" s="28">
        <f>D103</f>
        <v>67.120341631200006</v>
      </c>
    </row>
    <row r="131" spans="1:6" x14ac:dyDescent="0.25">
      <c r="A131" s="377" t="s">
        <v>49</v>
      </c>
      <c r="B131" s="377"/>
      <c r="C131" s="28">
        <f>C112</f>
        <v>149.70627380952382</v>
      </c>
      <c r="D131" s="28">
        <f>D112</f>
        <v>149.70627380952382</v>
      </c>
    </row>
    <row r="132" spans="1:6" x14ac:dyDescent="0.25">
      <c r="A132" s="378" t="s">
        <v>51</v>
      </c>
      <c r="B132" s="378"/>
      <c r="C132" s="28">
        <f>SUM(C127:C131)</f>
        <v>8530.2609314594902</v>
      </c>
      <c r="D132" s="28">
        <f>SUM(D127:D131)</f>
        <v>8944.3431804911743</v>
      </c>
    </row>
    <row r="133" spans="1:6" x14ac:dyDescent="0.25">
      <c r="A133" s="377" t="s">
        <v>50</v>
      </c>
      <c r="B133" s="377"/>
      <c r="C133" s="28">
        <f ca="1">C123</f>
        <v>931.94451048716462</v>
      </c>
      <c r="D133" s="28">
        <f ca="1">D123</f>
        <v>977.18365170171489</v>
      </c>
    </row>
    <row r="134" spans="1:6" ht="15.75" customHeight="1" x14ac:dyDescent="0.25">
      <c r="A134" s="374" t="s">
        <v>29</v>
      </c>
      <c r="B134" s="374"/>
      <c r="C134" s="26">
        <f ca="1">SUM(C132:C133)</f>
        <v>9462.2054419466549</v>
      </c>
      <c r="D134" s="26">
        <f ca="1">SUM(D132:D133)</f>
        <v>9921.5268321928888</v>
      </c>
      <c r="E134" s="52">
        <f ca="1">(C127+C128+C129+C130+C131+C133)/C127</f>
        <v>2.0828548451951319</v>
      </c>
    </row>
    <row r="135" spans="1:6" ht="6" customHeight="1" x14ac:dyDescent="0.25">
      <c r="A135" s="379"/>
      <c r="B135" s="380"/>
      <c r="C135" s="381"/>
      <c r="D135" s="209"/>
    </row>
    <row r="136" spans="1:6" ht="15.75" customHeight="1" x14ac:dyDescent="0.25">
      <c r="A136" s="374" t="s">
        <v>62</v>
      </c>
      <c r="B136" s="374"/>
      <c r="C136" s="26">
        <f ca="1">C134*2</f>
        <v>18924.41088389331</v>
      </c>
      <c r="D136" s="26">
        <f ca="1">D134*2</f>
        <v>19843.053664385778</v>
      </c>
      <c r="F136" s="52"/>
    </row>
    <row r="137" spans="1:6" x14ac:dyDescent="0.25">
      <c r="A137" s="370"/>
      <c r="B137" s="370"/>
      <c r="C137" s="370"/>
      <c r="D137" s="210"/>
    </row>
    <row r="138" spans="1:6" ht="23.25" customHeight="1" x14ac:dyDescent="0.25">
      <c r="A138" s="367" t="s">
        <v>422</v>
      </c>
      <c r="B138" s="368"/>
      <c r="C138" s="369"/>
      <c r="D138" s="212"/>
    </row>
    <row r="139" spans="1:6" ht="16.5" customHeight="1" x14ac:dyDescent="0.25">
      <c r="A139" s="17" t="s">
        <v>3</v>
      </c>
      <c r="B139" s="18"/>
      <c r="C139" s="19"/>
      <c r="D139" s="19"/>
    </row>
    <row r="140" spans="1:6" ht="15" customHeight="1" x14ac:dyDescent="0.25">
      <c r="A140" s="20" t="s">
        <v>4</v>
      </c>
      <c r="B140" s="21"/>
      <c r="C140" s="22" t="s">
        <v>5</v>
      </c>
      <c r="D140" s="22" t="s">
        <v>5</v>
      </c>
    </row>
    <row r="141" spans="1:6" ht="14.25" customHeight="1" x14ac:dyDescent="0.25">
      <c r="A141" s="13" t="s">
        <v>6</v>
      </c>
      <c r="B141" s="15">
        <v>386.96</v>
      </c>
      <c r="C141" s="15">
        <f>B141*2</f>
        <v>773.92</v>
      </c>
      <c r="D141" s="15">
        <f>B141*2</f>
        <v>773.92</v>
      </c>
      <c r="E141" s="52">
        <f>C141*6%</f>
        <v>46.435199999999995</v>
      </c>
    </row>
    <row r="142" spans="1:6" ht="15" customHeight="1" x14ac:dyDescent="0.25">
      <c r="A142" s="20" t="s">
        <v>423</v>
      </c>
      <c r="B142" s="21"/>
      <c r="C142" s="22">
        <f>SUM(C141)</f>
        <v>773.92</v>
      </c>
      <c r="D142" s="22">
        <f>SUM(D141)</f>
        <v>773.92</v>
      </c>
    </row>
    <row r="143" spans="1:6" x14ac:dyDescent="0.25">
      <c r="A143" s="13" t="s">
        <v>31</v>
      </c>
      <c r="B143" s="23">
        <v>5.5</v>
      </c>
      <c r="C143" s="15">
        <v>0</v>
      </c>
      <c r="D143" s="15">
        <v>0</v>
      </c>
      <c r="E143" s="151">
        <f>B143*2*2</f>
        <v>22</v>
      </c>
      <c r="F143" s="52"/>
    </row>
    <row r="144" spans="1:6" x14ac:dyDescent="0.25">
      <c r="A144" s="13" t="s">
        <v>97</v>
      </c>
      <c r="B144" s="23"/>
      <c r="C144" s="46">
        <f>43.62*2</f>
        <v>87.24</v>
      </c>
      <c r="D144" s="46">
        <f>45.23*2</f>
        <v>90.46</v>
      </c>
    </row>
    <row r="145" spans="1:5" x14ac:dyDescent="0.25">
      <c r="A145" s="13" t="s">
        <v>118</v>
      </c>
      <c r="B145" s="23">
        <v>0.3</v>
      </c>
      <c r="C145" s="15">
        <f>B145*-2</f>
        <v>-0.6</v>
      </c>
      <c r="D145" s="15">
        <f>B145*-2</f>
        <v>-0.6</v>
      </c>
      <c r="E145" s="52"/>
    </row>
    <row r="146" spans="1:5" ht="15" customHeight="1" x14ac:dyDescent="0.25">
      <c r="A146" s="20" t="s">
        <v>423</v>
      </c>
      <c r="B146" s="21"/>
      <c r="C146" s="22">
        <f>SUM(C143:C145)</f>
        <v>86.64</v>
      </c>
      <c r="D146" s="22">
        <f>SUM(D143:D145)</f>
        <v>89.86</v>
      </c>
    </row>
    <row r="147" spans="1:5" ht="15" customHeight="1" x14ac:dyDescent="0.25">
      <c r="A147" s="20" t="s">
        <v>424</v>
      </c>
      <c r="B147" s="21"/>
      <c r="C147" s="22">
        <f>C146+C142</f>
        <v>860.56</v>
      </c>
      <c r="D147" s="22">
        <f>D146+D142</f>
        <v>863.78</v>
      </c>
    </row>
    <row r="148" spans="1:5" x14ac:dyDescent="0.25">
      <c r="B148" s="4"/>
      <c r="C148" s="52">
        <f>C147*B118</f>
        <v>74.438439999999986</v>
      </c>
      <c r="D148" s="52">
        <f ca="1">D147*C118</f>
        <v>706987.32013976481</v>
      </c>
    </row>
    <row r="149" spans="1:5" x14ac:dyDescent="0.25">
      <c r="B149" s="4"/>
      <c r="C149" s="186">
        <f>SUM(C147:C148)</f>
        <v>934.99843999999996</v>
      </c>
      <c r="D149" s="186">
        <f ca="1">SUM(D147:D148)</f>
        <v>707851.10013976484</v>
      </c>
    </row>
    <row r="150" spans="1:5" x14ac:dyDescent="0.25">
      <c r="B150" s="4"/>
      <c r="C150" s="4"/>
      <c r="D150" s="4"/>
    </row>
    <row r="151" spans="1:5" x14ac:dyDescent="0.25">
      <c r="B151" s="4"/>
      <c r="C151" s="52">
        <f>C149-C147</f>
        <v>74.438440000000014</v>
      </c>
      <c r="D151" s="52">
        <f ca="1">D149-D147</f>
        <v>706987.32013976481</v>
      </c>
    </row>
    <row r="152" spans="1:5" x14ac:dyDescent="0.25">
      <c r="B152" s="4"/>
      <c r="C152" s="52">
        <f>C151*28*12</f>
        <v>25011.315840000003</v>
      </c>
      <c r="D152" s="52">
        <f ca="1">D151*28*12</f>
        <v>237547739.56696099</v>
      </c>
    </row>
    <row r="153" spans="1:5" x14ac:dyDescent="0.25">
      <c r="B153" s="4"/>
      <c r="C153" s="4"/>
      <c r="D153" s="4"/>
    </row>
    <row r="154" spans="1:5" x14ac:dyDescent="0.25">
      <c r="A154" s="7"/>
      <c r="B154" s="4"/>
      <c r="C154" s="4"/>
      <c r="D154" s="4"/>
    </row>
    <row r="155" spans="1:5" x14ac:dyDescent="0.25">
      <c r="B155" s="4"/>
      <c r="C155" s="4"/>
      <c r="D155" s="4"/>
    </row>
    <row r="156" spans="1:5" x14ac:dyDescent="0.25">
      <c r="B156" s="4"/>
      <c r="C156" s="4"/>
      <c r="D156" s="4"/>
    </row>
    <row r="157" spans="1:5" x14ac:dyDescent="0.25">
      <c r="B157" s="4"/>
      <c r="C157" s="4"/>
      <c r="D157" s="4"/>
    </row>
    <row r="158" spans="1:5" x14ac:dyDescent="0.25">
      <c r="B158" s="4"/>
      <c r="C158" s="4"/>
      <c r="D158" s="4"/>
    </row>
    <row r="159" spans="1:5" x14ac:dyDescent="0.25">
      <c r="B159" s="4"/>
      <c r="C159" s="4"/>
      <c r="D159" s="4"/>
    </row>
    <row r="160" spans="1:5" x14ac:dyDescent="0.25">
      <c r="B160" s="4"/>
      <c r="C160" s="4"/>
      <c r="D160" s="4"/>
    </row>
    <row r="161" s="4" customFormat="1" x14ac:dyDescent="0.25"/>
    <row r="162" s="4" customFormat="1" x14ac:dyDescent="0.25"/>
    <row r="163" s="4" customFormat="1" x14ac:dyDescent="0.25"/>
    <row r="164" s="4" customFormat="1" x14ac:dyDescent="0.25"/>
    <row r="165" s="4" customFormat="1" x14ac:dyDescent="0.25"/>
    <row r="166" s="4" customFormat="1" x14ac:dyDescent="0.25"/>
    <row r="167" s="4" customFormat="1" x14ac:dyDescent="0.25"/>
    <row r="168" s="4" customFormat="1" x14ac:dyDescent="0.25"/>
    <row r="169" s="4" customFormat="1" x14ac:dyDescent="0.25"/>
    <row r="170" s="4" customFormat="1" x14ac:dyDescent="0.25"/>
    <row r="171" s="4" customFormat="1" x14ac:dyDescent="0.25"/>
    <row r="172" s="4" customFormat="1" x14ac:dyDescent="0.25"/>
    <row r="173" s="4" customFormat="1" x14ac:dyDescent="0.25"/>
    <row r="174" s="4" customFormat="1" x14ac:dyDescent="0.25"/>
    <row r="175" s="4" customFormat="1" x14ac:dyDescent="0.25"/>
    <row r="176" s="4" customFormat="1" x14ac:dyDescent="0.25"/>
    <row r="177" s="4" customFormat="1" x14ac:dyDescent="0.25"/>
    <row r="178" s="4" customFormat="1" x14ac:dyDescent="0.25"/>
    <row r="179" s="4" customFormat="1" x14ac:dyDescent="0.25"/>
    <row r="180" s="4" customFormat="1" x14ac:dyDescent="0.25"/>
    <row r="181" s="4" customFormat="1" x14ac:dyDescent="0.25"/>
    <row r="182" s="4" customFormat="1" x14ac:dyDescent="0.25"/>
    <row r="183" s="4" customFormat="1" x14ac:dyDescent="0.25"/>
    <row r="184" s="4" customFormat="1" x14ac:dyDescent="0.25"/>
    <row r="185" s="4" customFormat="1" x14ac:dyDescent="0.25"/>
    <row r="186" s="4" customFormat="1" x14ac:dyDescent="0.25"/>
    <row r="187" s="4" customFormat="1" x14ac:dyDescent="0.25"/>
    <row r="188" s="4" customFormat="1" x14ac:dyDescent="0.25"/>
    <row r="189" s="4" customFormat="1" x14ac:dyDescent="0.25"/>
    <row r="190" s="4" customFormat="1" x14ac:dyDescent="0.25"/>
    <row r="191" s="4" customFormat="1" x14ac:dyDescent="0.25"/>
    <row r="192" s="4" customFormat="1" x14ac:dyDescent="0.25"/>
    <row r="193" s="4" customFormat="1" x14ac:dyDescent="0.25"/>
    <row r="194" s="4" customFormat="1" x14ac:dyDescent="0.25"/>
    <row r="195" s="4" customFormat="1" x14ac:dyDescent="0.25"/>
    <row r="196" s="4" customFormat="1" x14ac:dyDescent="0.25"/>
    <row r="197" s="4" customFormat="1" x14ac:dyDescent="0.25"/>
    <row r="198" s="4" customFormat="1" x14ac:dyDescent="0.25"/>
    <row r="199" s="4" customFormat="1" x14ac:dyDescent="0.25"/>
    <row r="200" s="4" customFormat="1" x14ac:dyDescent="0.25"/>
    <row r="201" s="4" customFormat="1" x14ac:dyDescent="0.25"/>
    <row r="202" s="4" customFormat="1" x14ac:dyDescent="0.25"/>
    <row r="203" s="4" customFormat="1" x14ac:dyDescent="0.25"/>
    <row r="204" s="4" customFormat="1" x14ac:dyDescent="0.25"/>
    <row r="205" s="4" customFormat="1" x14ac:dyDescent="0.25"/>
    <row r="206" s="4" customFormat="1" x14ac:dyDescent="0.25"/>
    <row r="207" s="4" customFormat="1" x14ac:dyDescent="0.25"/>
    <row r="208" s="4" customFormat="1" x14ac:dyDescent="0.25"/>
    <row r="209" s="4" customFormat="1" x14ac:dyDescent="0.25"/>
    <row r="210" s="4" customFormat="1" x14ac:dyDescent="0.25"/>
    <row r="211" s="4" customFormat="1" x14ac:dyDescent="0.25"/>
    <row r="212" s="4" customFormat="1" x14ac:dyDescent="0.25"/>
    <row r="213" s="4" customFormat="1" x14ac:dyDescent="0.25"/>
    <row r="214" s="4" customFormat="1" x14ac:dyDescent="0.25"/>
    <row r="215" s="4" customFormat="1" x14ac:dyDescent="0.25"/>
    <row r="216" s="4" customFormat="1" x14ac:dyDescent="0.25"/>
    <row r="217" s="4" customFormat="1" x14ac:dyDescent="0.25"/>
    <row r="218" s="4" customFormat="1" x14ac:dyDescent="0.25"/>
    <row r="219" s="4" customFormat="1" x14ac:dyDescent="0.25"/>
    <row r="220" s="4" customFormat="1" x14ac:dyDescent="0.25"/>
    <row r="221" s="4" customFormat="1" x14ac:dyDescent="0.25"/>
    <row r="222" s="4" customFormat="1" x14ac:dyDescent="0.25"/>
    <row r="223" s="4" customFormat="1" x14ac:dyDescent="0.25"/>
    <row r="224" s="4" customFormat="1" x14ac:dyDescent="0.25"/>
    <row r="225" s="4" customFormat="1" x14ac:dyDescent="0.25"/>
    <row r="226" s="4" customFormat="1" x14ac:dyDescent="0.25"/>
    <row r="227" s="4" customFormat="1" x14ac:dyDescent="0.25"/>
    <row r="228" s="4" customFormat="1" x14ac:dyDescent="0.25"/>
    <row r="229" s="4" customFormat="1" x14ac:dyDescent="0.25"/>
    <row r="230" s="4" customFormat="1" x14ac:dyDescent="0.25"/>
    <row r="231" s="4" customFormat="1" x14ac:dyDescent="0.25"/>
    <row r="232" s="4" customFormat="1" x14ac:dyDescent="0.25"/>
    <row r="233" s="4" customFormat="1" x14ac:dyDescent="0.25"/>
    <row r="234" s="4" customFormat="1" x14ac:dyDescent="0.25"/>
    <row r="235" s="4" customFormat="1" x14ac:dyDescent="0.25"/>
    <row r="236" s="4" customFormat="1" x14ac:dyDescent="0.25"/>
  </sheetData>
  <mergeCells count="42">
    <mergeCell ref="A18:C18"/>
    <mergeCell ref="A1:C1"/>
    <mergeCell ref="A2:C2"/>
    <mergeCell ref="A5:C5"/>
    <mergeCell ref="A6:C6"/>
    <mergeCell ref="B7:C7"/>
    <mergeCell ref="B8:C8"/>
    <mergeCell ref="B9:C9"/>
    <mergeCell ref="B10:C10"/>
    <mergeCell ref="A14:B14"/>
    <mergeCell ref="A16:C16"/>
    <mergeCell ref="A17:C17"/>
    <mergeCell ref="A15:C15"/>
    <mergeCell ref="A98:C98"/>
    <mergeCell ref="B19:C19"/>
    <mergeCell ref="B20:C20"/>
    <mergeCell ref="B21:C21"/>
    <mergeCell ref="B22:C22"/>
    <mergeCell ref="B23:C23"/>
    <mergeCell ref="A24:C24"/>
    <mergeCell ref="A34:C34"/>
    <mergeCell ref="A44:C44"/>
    <mergeCell ref="A54:C54"/>
    <mergeCell ref="A64:C64"/>
    <mergeCell ref="A43:C43"/>
    <mergeCell ref="A90:C90"/>
    <mergeCell ref="A138:C138"/>
    <mergeCell ref="A137:C137"/>
    <mergeCell ref="A113:C113"/>
    <mergeCell ref="A124:C124"/>
    <mergeCell ref="A136:B136"/>
    <mergeCell ref="A125:C125"/>
    <mergeCell ref="A126:B126"/>
    <mergeCell ref="A127:B127"/>
    <mergeCell ref="A128:B128"/>
    <mergeCell ref="A129:B129"/>
    <mergeCell ref="A130:B130"/>
    <mergeCell ref="A131:B131"/>
    <mergeCell ref="A132:B132"/>
    <mergeCell ref="A133:B133"/>
    <mergeCell ref="A134:B134"/>
    <mergeCell ref="A135:C135"/>
  </mergeCells>
  <pageMargins left="0.511811024" right="0.511811024" top="0.78740157499999996" bottom="0.78740157499999996" header="0.31496062000000002" footer="0.31496062000000002"/>
  <pageSetup paperSize="9" scale="59" orientation="portrait" r:id="rId1"/>
  <rowBreaks count="1" manualBreakCount="1">
    <brk id="71" max="3" man="1"/>
  </rowBreaks>
  <colBreaks count="1" manualBreakCount="1">
    <brk id="4"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C0920D-04CB-4BA3-B7E0-10E46A85F5E1}">
  <dimension ref="A1:J239"/>
  <sheetViews>
    <sheetView view="pageBreakPreview" topLeftCell="A19" zoomScale="96" zoomScaleNormal="100" zoomScaleSheetLayoutView="96" workbookViewId="0">
      <selection activeCell="D14" sqref="D14"/>
    </sheetView>
  </sheetViews>
  <sheetFormatPr defaultRowHeight="12.75" x14ac:dyDescent="0.25"/>
  <cols>
    <col min="1" max="1" width="92.7109375" style="4" customWidth="1"/>
    <col min="2" max="2" width="15.28515625" style="8" customWidth="1"/>
    <col min="3" max="4" width="23.7109375" style="8" customWidth="1"/>
    <col min="5" max="5" width="20.7109375" style="4" customWidth="1"/>
    <col min="6" max="6" width="18.42578125" style="4" customWidth="1"/>
    <col min="7" max="7" width="9.85546875" style="4" bestFit="1" customWidth="1"/>
    <col min="8" max="16384" width="9.140625" style="4"/>
  </cols>
  <sheetData>
    <row r="1" spans="1:6" s="10" customFormat="1" ht="27" customHeight="1" x14ac:dyDescent="0.25">
      <c r="A1" s="395" t="str">
        <f>A13</f>
        <v>Posto de Brigadista diurno 12x36hs</v>
      </c>
      <c r="B1" s="395"/>
      <c r="C1" s="395"/>
      <c r="D1" s="189"/>
      <c r="E1" s="9"/>
      <c r="F1" s="9"/>
    </row>
    <row r="2" spans="1:6" s="10" customFormat="1" ht="31.5" customHeight="1" x14ac:dyDescent="0.25">
      <c r="A2" s="396" t="s">
        <v>88</v>
      </c>
      <c r="B2" s="396"/>
      <c r="C2" s="396"/>
      <c r="D2" s="190"/>
    </row>
    <row r="3" spans="1:6" s="10" customFormat="1" ht="15.75" customHeight="1" x14ac:dyDescent="0.25">
      <c r="A3" s="11" t="s">
        <v>68</v>
      </c>
      <c r="B3" s="11"/>
      <c r="C3" s="11"/>
      <c r="D3" s="11"/>
    </row>
    <row r="4" spans="1:6" s="10" customFormat="1" ht="15.75" customHeight="1" x14ac:dyDescent="0.25">
      <c r="A4" s="11" t="s">
        <v>69</v>
      </c>
      <c r="B4" s="11"/>
      <c r="C4" s="11"/>
      <c r="D4" s="11"/>
    </row>
    <row r="5" spans="1:6" s="10" customFormat="1" ht="14.85" customHeight="1" x14ac:dyDescent="0.25">
      <c r="A5" s="397"/>
      <c r="B5" s="397"/>
      <c r="C5" s="397"/>
      <c r="D5" s="191"/>
    </row>
    <row r="6" spans="1:6" s="10" customFormat="1" ht="20.25" customHeight="1" x14ac:dyDescent="0.25">
      <c r="A6" s="398" t="s">
        <v>70</v>
      </c>
      <c r="B6" s="398"/>
      <c r="C6" s="398"/>
      <c r="D6" s="192"/>
    </row>
    <row r="7" spans="1:6" s="10" customFormat="1" ht="15.75" customHeight="1" x14ac:dyDescent="0.25">
      <c r="A7" s="11" t="s">
        <v>71</v>
      </c>
      <c r="B7" s="399"/>
      <c r="C7" s="399"/>
      <c r="D7" s="193"/>
    </row>
    <row r="8" spans="1:6" s="10" customFormat="1" ht="15.75" customHeight="1" x14ac:dyDescent="0.25">
      <c r="A8" s="11" t="s">
        <v>72</v>
      </c>
      <c r="B8" s="400" t="s">
        <v>1</v>
      </c>
      <c r="C8" s="400"/>
      <c r="D8" s="194"/>
    </row>
    <row r="9" spans="1:6" s="10" customFormat="1" ht="20.100000000000001" customHeight="1" x14ac:dyDescent="0.25">
      <c r="A9" s="11" t="s">
        <v>73</v>
      </c>
      <c r="B9" s="401"/>
      <c r="C9" s="401"/>
      <c r="D9" s="195"/>
    </row>
    <row r="10" spans="1:6" s="10" customFormat="1" ht="15.75" customHeight="1" x14ac:dyDescent="0.25">
      <c r="A10" s="11" t="s">
        <v>74</v>
      </c>
      <c r="B10" s="401" t="s">
        <v>75</v>
      </c>
      <c r="C10" s="401"/>
      <c r="D10" s="195"/>
    </row>
    <row r="11" spans="1:6" s="10" customFormat="1" ht="21.2" customHeight="1" x14ac:dyDescent="0.25">
      <c r="A11" s="11" t="s">
        <v>76</v>
      </c>
      <c r="B11" s="11"/>
      <c r="C11" s="11"/>
      <c r="D11" s="11"/>
    </row>
    <row r="12" spans="1:6" s="10" customFormat="1" ht="47.25" customHeight="1" x14ac:dyDescent="0.25">
      <c r="A12" s="50" t="s">
        <v>81</v>
      </c>
      <c r="B12" s="50" t="s">
        <v>77</v>
      </c>
      <c r="C12" s="50" t="s">
        <v>78</v>
      </c>
      <c r="D12" s="50" t="s">
        <v>78</v>
      </c>
    </row>
    <row r="13" spans="1:6" s="10" customFormat="1" ht="36" customHeight="1" x14ac:dyDescent="0.25">
      <c r="A13" s="12" t="s">
        <v>120</v>
      </c>
      <c r="B13" s="80" t="s">
        <v>79</v>
      </c>
      <c r="C13" s="51">
        <v>2</v>
      </c>
      <c r="D13" s="51">
        <v>2</v>
      </c>
    </row>
    <row r="14" spans="1:6" s="10" customFormat="1" ht="18.75" customHeight="1" x14ac:dyDescent="0.25">
      <c r="A14" s="398" t="s">
        <v>80</v>
      </c>
      <c r="B14" s="398"/>
      <c r="C14" s="51">
        <f>SUM(C13)</f>
        <v>2</v>
      </c>
      <c r="D14" s="51">
        <f>SUM(D13)</f>
        <v>2</v>
      </c>
    </row>
    <row r="15" spans="1:6" s="10" customFormat="1" ht="18" customHeight="1" x14ac:dyDescent="0.25">
      <c r="A15" s="402" t="s">
        <v>101</v>
      </c>
      <c r="B15" s="403"/>
      <c r="C15" s="404"/>
      <c r="D15" s="196"/>
    </row>
    <row r="16" spans="1:6" s="10" customFormat="1" ht="18" customHeight="1" x14ac:dyDescent="0.25">
      <c r="A16" s="402" t="s">
        <v>102</v>
      </c>
      <c r="B16" s="403"/>
      <c r="C16" s="404"/>
      <c r="D16" s="196"/>
    </row>
    <row r="17" spans="1:10" x14ac:dyDescent="0.25">
      <c r="A17" s="405" t="s">
        <v>82</v>
      </c>
      <c r="B17" s="405"/>
      <c r="C17" s="405"/>
      <c r="D17" s="197"/>
    </row>
    <row r="18" spans="1:10" x14ac:dyDescent="0.25">
      <c r="A18" s="394" t="s">
        <v>83</v>
      </c>
      <c r="B18" s="394"/>
      <c r="C18" s="394"/>
      <c r="D18" s="198"/>
    </row>
    <row r="19" spans="1:10" s="5" customFormat="1" x14ac:dyDescent="0.2">
      <c r="A19" s="16" t="s">
        <v>2</v>
      </c>
      <c r="B19" s="382" t="s">
        <v>115</v>
      </c>
      <c r="C19" s="382"/>
      <c r="D19" s="199"/>
    </row>
    <row r="20" spans="1:10" s="5" customFormat="1" x14ac:dyDescent="0.2">
      <c r="A20" s="16" t="s">
        <v>84</v>
      </c>
      <c r="B20" s="383" t="s">
        <v>116</v>
      </c>
      <c r="C20" s="383"/>
      <c r="D20" s="200"/>
    </row>
    <row r="21" spans="1:10" s="5" customFormat="1" x14ac:dyDescent="0.2">
      <c r="A21" s="16" t="s">
        <v>85</v>
      </c>
      <c r="B21" s="384">
        <v>3494.54</v>
      </c>
      <c r="C21" s="384"/>
      <c r="D21" s="201"/>
    </row>
    <row r="22" spans="1:10" s="5" customFormat="1" x14ac:dyDescent="0.2">
      <c r="A22" s="16" t="s">
        <v>86</v>
      </c>
      <c r="B22" s="385" t="s">
        <v>117</v>
      </c>
      <c r="C22" s="385"/>
      <c r="D22" s="202"/>
    </row>
    <row r="23" spans="1:10" s="5" customFormat="1" x14ac:dyDescent="0.2">
      <c r="A23" s="16" t="s">
        <v>87</v>
      </c>
      <c r="B23" s="386">
        <v>44927</v>
      </c>
      <c r="C23" s="386"/>
      <c r="D23" s="203"/>
    </row>
    <row r="24" spans="1:10" s="3" customFormat="1" ht="6" customHeight="1" x14ac:dyDescent="0.25">
      <c r="A24" s="371"/>
      <c r="B24" s="372"/>
      <c r="C24" s="373"/>
      <c r="D24" s="204"/>
      <c r="E24" s="53"/>
      <c r="F24" s="53"/>
      <c r="G24" s="53"/>
      <c r="H24" s="53"/>
      <c r="I24" s="53"/>
      <c r="J24" s="53"/>
    </row>
    <row r="25" spans="1:10" x14ac:dyDescent="0.25">
      <c r="A25" s="17" t="s">
        <v>3</v>
      </c>
      <c r="B25" s="18"/>
      <c r="C25" s="19">
        <v>2023</v>
      </c>
      <c r="D25" s="19">
        <v>2024</v>
      </c>
    </row>
    <row r="26" spans="1:10" x14ac:dyDescent="0.25">
      <c r="A26" s="20" t="s">
        <v>4</v>
      </c>
      <c r="B26" s="21"/>
      <c r="C26" s="22" t="s">
        <v>5</v>
      </c>
      <c r="D26" s="22" t="s">
        <v>5</v>
      </c>
    </row>
    <row r="27" spans="1:10" x14ac:dyDescent="0.25">
      <c r="A27" s="13" t="s">
        <v>6</v>
      </c>
      <c r="B27" s="14">
        <v>1</v>
      </c>
      <c r="C27" s="15">
        <f>B21</f>
        <v>3494.54</v>
      </c>
      <c r="D27" s="15">
        <f>Diurno!D27</f>
        <v>3669.27</v>
      </c>
    </row>
    <row r="28" spans="1:10" x14ac:dyDescent="0.25">
      <c r="A28" s="13" t="s">
        <v>7</v>
      </c>
      <c r="B28" s="14">
        <v>0.3</v>
      </c>
      <c r="C28" s="15">
        <f>C27*30%</f>
        <v>1048.3619999999999</v>
      </c>
      <c r="D28" s="15">
        <f>D27*30%</f>
        <v>1100.7809999999999</v>
      </c>
    </row>
    <row r="29" spans="1:10" x14ac:dyDescent="0.25">
      <c r="A29" s="13" t="s">
        <v>8</v>
      </c>
      <c r="B29" s="14"/>
      <c r="C29" s="15"/>
      <c r="D29" s="15"/>
    </row>
    <row r="30" spans="1:10" x14ac:dyDescent="0.25">
      <c r="A30" s="13" t="s">
        <v>9</v>
      </c>
      <c r="B30" s="14">
        <v>0.22500000000000001</v>
      </c>
      <c r="C30" s="15">
        <f>(C27+C28)/180*B30*7*13</f>
        <v>516.75510250000002</v>
      </c>
      <c r="D30" s="15">
        <f>(D27+D28)/180*B30*7*13</f>
        <v>542.59330124999997</v>
      </c>
    </row>
    <row r="31" spans="1:10" x14ac:dyDescent="0.25">
      <c r="A31" s="13" t="s">
        <v>10</v>
      </c>
      <c r="B31" s="14"/>
      <c r="C31" s="15"/>
      <c r="D31" s="15"/>
    </row>
    <row r="32" spans="1:10" s="5" customFormat="1" x14ac:dyDescent="0.25">
      <c r="A32" s="44" t="s">
        <v>340</v>
      </c>
      <c r="B32" s="14"/>
      <c r="C32" s="46"/>
      <c r="D32" s="46"/>
    </row>
    <row r="33" spans="1:10" x14ac:dyDescent="0.25">
      <c r="A33" s="24" t="s">
        <v>11</v>
      </c>
      <c r="B33" s="25"/>
      <c r="C33" s="26">
        <f>SUM(C27:C32)</f>
        <v>5059.6571025000003</v>
      </c>
      <c r="D33" s="26">
        <f>SUM(D27:D32)</f>
        <v>5312.6443012499994</v>
      </c>
      <c r="E33" s="5"/>
    </row>
    <row r="34" spans="1:10" s="3" customFormat="1" ht="6" customHeight="1" x14ac:dyDescent="0.25">
      <c r="A34" s="387"/>
      <c r="B34" s="388"/>
      <c r="C34" s="389"/>
      <c r="D34" s="205"/>
      <c r="E34" s="54"/>
      <c r="F34" s="54"/>
      <c r="G34" s="54"/>
      <c r="H34" s="54"/>
      <c r="I34" s="54"/>
      <c r="J34" s="54"/>
    </row>
    <row r="35" spans="1:10" x14ac:dyDescent="0.25">
      <c r="A35" s="17" t="s">
        <v>32</v>
      </c>
      <c r="B35" s="18"/>
      <c r="C35" s="19"/>
      <c r="D35" s="19"/>
    </row>
    <row r="36" spans="1:10" x14ac:dyDescent="0.25">
      <c r="A36" s="29" t="s">
        <v>33</v>
      </c>
      <c r="B36" s="30"/>
      <c r="C36" s="31"/>
      <c r="D36" s="31"/>
    </row>
    <row r="37" spans="1:10" x14ac:dyDescent="0.25">
      <c r="A37" s="20" t="s">
        <v>98</v>
      </c>
      <c r="B37" s="32"/>
      <c r="C37" s="22" t="s">
        <v>30</v>
      </c>
      <c r="D37" s="22" t="s">
        <v>30</v>
      </c>
    </row>
    <row r="38" spans="1:10" x14ac:dyDescent="0.25">
      <c r="A38" s="13" t="s">
        <v>53</v>
      </c>
      <c r="B38" s="14">
        <f>'Memória de Cálculo'!E29</f>
        <v>8.3299999999999999E-2</v>
      </c>
      <c r="C38" s="15">
        <f>B38*C$33</f>
        <v>421.46943663825004</v>
      </c>
      <c r="D38" s="15">
        <f>B38*D$33</f>
        <v>442.54327029412497</v>
      </c>
    </row>
    <row r="39" spans="1:10" x14ac:dyDescent="0.25">
      <c r="A39" s="13" t="s">
        <v>52</v>
      </c>
      <c r="B39" s="33">
        <f>'Memória de Cálculo'!E30</f>
        <v>0.1111</v>
      </c>
      <c r="C39" s="34">
        <f>C33*B39</f>
        <v>562.12790408775004</v>
      </c>
      <c r="D39" s="34">
        <f>D33*B39</f>
        <v>590.23478186887496</v>
      </c>
    </row>
    <row r="40" spans="1:10" x14ac:dyDescent="0.25">
      <c r="A40" s="35" t="s">
        <v>61</v>
      </c>
      <c r="B40" s="75">
        <f>SUM(B38:B39)</f>
        <v>0.19440000000000002</v>
      </c>
      <c r="C40" s="36">
        <f>SUM(C38:C39)</f>
        <v>983.59734072600008</v>
      </c>
      <c r="D40" s="36">
        <f>SUM(D38:D39)</f>
        <v>1032.778052163</v>
      </c>
    </row>
    <row r="41" spans="1:10" x14ac:dyDescent="0.25">
      <c r="A41" s="13" t="s">
        <v>221</v>
      </c>
      <c r="B41" s="33">
        <f>'Memória de Cálculo'!E32</f>
        <v>6.8623200000000009E-2</v>
      </c>
      <c r="C41" s="34">
        <f>C33*B41</f>
        <v>347.20986127627805</v>
      </c>
      <c r="D41" s="34">
        <f>D33*B41</f>
        <v>364.57065241353899</v>
      </c>
    </row>
    <row r="42" spans="1:10" x14ac:dyDescent="0.25">
      <c r="A42" s="55" t="s">
        <v>0</v>
      </c>
      <c r="B42" s="68">
        <f>SUM(B40:B41)</f>
        <v>0.26302320000000001</v>
      </c>
      <c r="C42" s="56">
        <f>SUM(C40:C41)</f>
        <v>1330.8072020022782</v>
      </c>
      <c r="D42" s="56">
        <f>SUM(D40:D41)</f>
        <v>1397.3487045765389</v>
      </c>
      <c r="E42" s="148">
        <f>B42</f>
        <v>0.26302320000000001</v>
      </c>
      <c r="F42" s="67"/>
    </row>
    <row r="43" spans="1:10" s="3" customFormat="1" ht="6" customHeight="1" x14ac:dyDescent="0.25">
      <c r="A43" s="371"/>
      <c r="B43" s="372"/>
      <c r="C43" s="373"/>
      <c r="D43" s="204"/>
      <c r="E43" s="54"/>
      <c r="F43" s="54"/>
      <c r="G43" s="54"/>
      <c r="H43" s="54"/>
      <c r="I43" s="54"/>
      <c r="J43" s="54"/>
    </row>
    <row r="44" spans="1:10" ht="27" customHeight="1" x14ac:dyDescent="0.25">
      <c r="A44" s="390" t="s">
        <v>54</v>
      </c>
      <c r="B44" s="390"/>
      <c r="C44" s="390"/>
      <c r="D44" s="206"/>
    </row>
    <row r="45" spans="1:10" x14ac:dyDescent="0.25">
      <c r="A45" s="13" t="s">
        <v>15</v>
      </c>
      <c r="B45" s="14">
        <f>'Memória de Cálculo'!E37</f>
        <v>0.2</v>
      </c>
      <c r="C45" s="15">
        <f t="shared" ref="C45:C52" si="0">B45*(C$33)</f>
        <v>1011.9314205000001</v>
      </c>
      <c r="D45" s="15">
        <f t="shared" ref="D45:D52" si="1">B45*(D$33)</f>
        <v>1062.52886025</v>
      </c>
    </row>
    <row r="46" spans="1:10" x14ac:dyDescent="0.25">
      <c r="A46" s="13" t="s">
        <v>55</v>
      </c>
      <c r="B46" s="14">
        <f>'Memória de Cálculo'!E38</f>
        <v>2.5000000000000001E-2</v>
      </c>
      <c r="C46" s="15">
        <f t="shared" si="0"/>
        <v>126.49142756250001</v>
      </c>
      <c r="D46" s="15">
        <f t="shared" si="1"/>
        <v>132.81610753125</v>
      </c>
    </row>
    <row r="47" spans="1:10" x14ac:dyDescent="0.25">
      <c r="A47" s="13" t="s">
        <v>63</v>
      </c>
      <c r="B47" s="14">
        <f>'Memória de Cálculo'!E39</f>
        <v>1.4999999999999999E-2</v>
      </c>
      <c r="C47" s="15">
        <f t="shared" si="0"/>
        <v>75.894856537500004</v>
      </c>
      <c r="D47" s="15">
        <f t="shared" si="1"/>
        <v>79.689664518749993</v>
      </c>
    </row>
    <row r="48" spans="1:10" x14ac:dyDescent="0.25">
      <c r="A48" s="13" t="s">
        <v>56</v>
      </c>
      <c r="B48" s="14">
        <f>'Memória de Cálculo'!E40</f>
        <v>0.01</v>
      </c>
      <c r="C48" s="15">
        <f t="shared" si="0"/>
        <v>50.596571025000003</v>
      </c>
      <c r="D48" s="15">
        <f t="shared" si="1"/>
        <v>53.126443012499998</v>
      </c>
    </row>
    <row r="49" spans="1:10" x14ac:dyDescent="0.25">
      <c r="A49" s="13" t="s">
        <v>57</v>
      </c>
      <c r="B49" s="14">
        <f>'Memória de Cálculo'!E41</f>
        <v>1.4999999999999999E-2</v>
      </c>
      <c r="C49" s="15">
        <f t="shared" si="0"/>
        <v>75.894856537500004</v>
      </c>
      <c r="D49" s="15">
        <f t="shared" si="1"/>
        <v>79.689664518749993</v>
      </c>
    </row>
    <row r="50" spans="1:10" x14ac:dyDescent="0.25">
      <c r="A50" s="13" t="s">
        <v>58</v>
      </c>
      <c r="B50" s="14">
        <f>'Memória de Cálculo'!E42</f>
        <v>6.0000000000000001E-3</v>
      </c>
      <c r="C50" s="15">
        <f t="shared" si="0"/>
        <v>30.357942615000002</v>
      </c>
      <c r="D50" s="15">
        <f t="shared" si="1"/>
        <v>31.875865807499999</v>
      </c>
    </row>
    <row r="51" spans="1:10" x14ac:dyDescent="0.25">
      <c r="A51" s="13" t="s">
        <v>59</v>
      </c>
      <c r="B51" s="14">
        <f>'Memória de Cálculo'!E43</f>
        <v>2E-3</v>
      </c>
      <c r="C51" s="15">
        <f t="shared" si="0"/>
        <v>10.119314205</v>
      </c>
      <c r="D51" s="15">
        <f t="shared" si="1"/>
        <v>10.6252886025</v>
      </c>
    </row>
    <row r="52" spans="1:10" x14ac:dyDescent="0.25">
      <c r="A52" s="13" t="s">
        <v>60</v>
      </c>
      <c r="B52" s="14">
        <f>'Memória de Cálculo'!E44</f>
        <v>0.08</v>
      </c>
      <c r="C52" s="15">
        <f t="shared" si="0"/>
        <v>404.77256820000002</v>
      </c>
      <c r="D52" s="15">
        <f t="shared" si="1"/>
        <v>425.01154409999998</v>
      </c>
    </row>
    <row r="53" spans="1:10" x14ac:dyDescent="0.25">
      <c r="A53" s="55" t="s">
        <v>0</v>
      </c>
      <c r="B53" s="68">
        <f>SUM(B45:B52)</f>
        <v>0.35300000000000004</v>
      </c>
      <c r="C53" s="56">
        <f>SUM(C45:C52)</f>
        <v>1786.0589571825001</v>
      </c>
      <c r="D53" s="56">
        <f>SUM(D45:D52)</f>
        <v>1875.3634383412502</v>
      </c>
      <c r="E53" s="5"/>
    </row>
    <row r="54" spans="1:10" s="3" customFormat="1" ht="6" customHeight="1" x14ac:dyDescent="0.25">
      <c r="A54" s="371"/>
      <c r="B54" s="372"/>
      <c r="C54" s="373"/>
      <c r="D54" s="204"/>
      <c r="E54" s="57"/>
      <c r="F54" s="57"/>
      <c r="G54" s="57"/>
      <c r="H54" s="57"/>
      <c r="I54" s="57"/>
      <c r="J54" s="57"/>
    </row>
    <row r="55" spans="1:10" x14ac:dyDescent="0.25">
      <c r="A55" s="29" t="s">
        <v>34</v>
      </c>
      <c r="B55" s="21"/>
      <c r="C55" s="22" t="s">
        <v>5</v>
      </c>
      <c r="D55" s="22" t="s">
        <v>5</v>
      </c>
    </row>
    <row r="56" spans="1:10" x14ac:dyDescent="0.25">
      <c r="A56" s="13" t="s">
        <v>31</v>
      </c>
      <c r="B56" s="23">
        <v>5.5</v>
      </c>
      <c r="C56" s="15">
        <v>0</v>
      </c>
      <c r="D56" s="15">
        <v>0</v>
      </c>
      <c r="E56" s="151">
        <f>B56*2*15</f>
        <v>165</v>
      </c>
      <c r="F56" s="52">
        <f>C27*6%</f>
        <v>209.67239999999998</v>
      </c>
    </row>
    <row r="57" spans="1:10" x14ac:dyDescent="0.25">
      <c r="A57" s="13" t="s">
        <v>97</v>
      </c>
      <c r="B57" s="23"/>
      <c r="C57" s="150">
        <f>43.62*13</f>
        <v>567.05999999999995</v>
      </c>
      <c r="D57" s="150">
        <f>45.23*13</f>
        <v>587.99</v>
      </c>
    </row>
    <row r="58" spans="1:10" x14ac:dyDescent="0.25">
      <c r="A58" s="13" t="s">
        <v>118</v>
      </c>
      <c r="B58" s="23"/>
      <c r="C58" s="15">
        <f>0.3*-13</f>
        <v>-3.9</v>
      </c>
      <c r="D58" s="15">
        <f>0.3*-13</f>
        <v>-3.9</v>
      </c>
      <c r="E58" s="52">
        <f>C57+C58</f>
        <v>563.16</v>
      </c>
    </row>
    <row r="59" spans="1:10" x14ac:dyDescent="0.25">
      <c r="A59" s="13" t="s">
        <v>12</v>
      </c>
      <c r="B59" s="23"/>
      <c r="C59" s="46">
        <v>175.76</v>
      </c>
      <c r="D59" s="46">
        <f>Diurno!D59</f>
        <v>184.55</v>
      </c>
    </row>
    <row r="60" spans="1:10" x14ac:dyDescent="0.25">
      <c r="A60" s="13" t="s">
        <v>65</v>
      </c>
      <c r="B60" s="23"/>
      <c r="C60" s="46">
        <v>12.2</v>
      </c>
      <c r="D60" s="46">
        <f>Diurno!D60</f>
        <v>12.81</v>
      </c>
    </row>
    <row r="61" spans="1:10" x14ac:dyDescent="0.25">
      <c r="A61" s="13" t="s">
        <v>90</v>
      </c>
      <c r="B61" s="23"/>
      <c r="C61" s="46">
        <v>12.14</v>
      </c>
      <c r="D61" s="46">
        <f>Diurno!D61</f>
        <v>15.02</v>
      </c>
    </row>
    <row r="62" spans="1:10" x14ac:dyDescent="0.25">
      <c r="A62" s="13" t="s">
        <v>103</v>
      </c>
      <c r="B62" s="23"/>
      <c r="C62" s="15">
        <f>Diurno!C62</f>
        <v>26.98</v>
      </c>
      <c r="D62" s="15">
        <f>Diurno!D62</f>
        <v>28.33</v>
      </c>
    </row>
    <row r="63" spans="1:10" x14ac:dyDescent="0.25">
      <c r="A63" s="58" t="s">
        <v>0</v>
      </c>
      <c r="B63" s="59"/>
      <c r="C63" s="60">
        <f>SUM(C57:C62)</f>
        <v>790.24</v>
      </c>
      <c r="D63" s="60">
        <f>SUM(D57:D62)</f>
        <v>824.80000000000007</v>
      </c>
      <c r="E63" s="5"/>
    </row>
    <row r="64" spans="1:10" s="61" customFormat="1" ht="6" customHeight="1" x14ac:dyDescent="0.25">
      <c r="A64" s="371"/>
      <c r="B64" s="372"/>
      <c r="C64" s="373"/>
      <c r="D64" s="204"/>
      <c r="E64" s="53"/>
      <c r="F64" s="53"/>
      <c r="G64" s="53"/>
      <c r="H64" s="53"/>
      <c r="I64" s="53"/>
      <c r="J64" s="53"/>
    </row>
    <row r="65" spans="1:6" x14ac:dyDescent="0.25">
      <c r="A65" s="29" t="s">
        <v>35</v>
      </c>
      <c r="B65" s="30"/>
      <c r="C65" s="31"/>
      <c r="D65" s="31"/>
    </row>
    <row r="66" spans="1:6" x14ac:dyDescent="0.25">
      <c r="A66" s="82" t="s">
        <v>64</v>
      </c>
      <c r="B66" s="82"/>
      <c r="C66" s="22" t="s">
        <v>30</v>
      </c>
      <c r="D66" s="22" t="s">
        <v>30</v>
      </c>
    </row>
    <row r="67" spans="1:6" x14ac:dyDescent="0.25">
      <c r="A67" s="37" t="s">
        <v>36</v>
      </c>
      <c r="B67" s="38">
        <f>B42</f>
        <v>0.26302320000000001</v>
      </c>
      <c r="C67" s="15">
        <f>C42</f>
        <v>1330.8072020022782</v>
      </c>
      <c r="D67" s="15">
        <f>D42</f>
        <v>1397.3487045765389</v>
      </c>
    </row>
    <row r="68" spans="1:6" s="6" customFormat="1" x14ac:dyDescent="0.25">
      <c r="A68" s="37" t="s">
        <v>94</v>
      </c>
      <c r="B68" s="38">
        <f>B53</f>
        <v>0.35300000000000004</v>
      </c>
      <c r="C68" s="15">
        <f>C53</f>
        <v>1786.0589571825001</v>
      </c>
      <c r="D68" s="15">
        <f>D53</f>
        <v>1875.3634383412502</v>
      </c>
    </row>
    <row r="69" spans="1:6" x14ac:dyDescent="0.25">
      <c r="A69" s="37" t="s">
        <v>37</v>
      </c>
      <c r="B69" s="38"/>
      <c r="C69" s="15">
        <f>C63</f>
        <v>790.24</v>
      </c>
      <c r="D69" s="15">
        <f>D63</f>
        <v>824.80000000000007</v>
      </c>
    </row>
    <row r="70" spans="1:6" x14ac:dyDescent="0.25">
      <c r="A70" s="81" t="s">
        <v>0</v>
      </c>
      <c r="B70" s="39">
        <f>SUM(B67:B69)</f>
        <v>0.6160232000000001</v>
      </c>
      <c r="C70" s="26">
        <f>SUM(C67:C69)</f>
        <v>3907.1061591847783</v>
      </c>
      <c r="D70" s="26">
        <f>SUM(D67:D69)</f>
        <v>4097.5121429177889</v>
      </c>
      <c r="E70" s="148">
        <f>B70</f>
        <v>0.6160232000000001</v>
      </c>
      <c r="F70" s="67"/>
    </row>
    <row r="71" spans="1:6" s="5" customFormat="1" ht="6" customHeight="1" x14ac:dyDescent="0.25">
      <c r="A71" s="40"/>
      <c r="B71" s="41"/>
      <c r="C71" s="42"/>
      <c r="D71" s="42"/>
    </row>
    <row r="72" spans="1:6" s="6" customFormat="1" x14ac:dyDescent="0.25">
      <c r="A72" s="17" t="s">
        <v>38</v>
      </c>
      <c r="B72" s="18"/>
      <c r="C72" s="19"/>
      <c r="D72" s="19"/>
    </row>
    <row r="73" spans="1:6" x14ac:dyDescent="0.25">
      <c r="A73" s="20" t="s">
        <v>39</v>
      </c>
      <c r="B73" s="32"/>
      <c r="C73" s="22" t="s">
        <v>30</v>
      </c>
      <c r="D73" s="22" t="s">
        <v>30</v>
      </c>
    </row>
    <row r="74" spans="1:6" x14ac:dyDescent="0.25">
      <c r="A74" s="13" t="s">
        <v>16</v>
      </c>
      <c r="B74" s="45">
        <f>'Memória de Cálculo'!E76</f>
        <v>4.1666666666666664E-4</v>
      </c>
      <c r="C74" s="15">
        <f t="shared" ref="C74:C79" si="2">B74*C$33</f>
        <v>2.1081904593749998</v>
      </c>
      <c r="D74" s="15">
        <f t="shared" ref="D74:D79" si="3">B74*D$33</f>
        <v>2.2136017921874998</v>
      </c>
      <c r="F74" s="71"/>
    </row>
    <row r="75" spans="1:6" x14ac:dyDescent="0.25">
      <c r="A75" s="43" t="s">
        <v>17</v>
      </c>
      <c r="B75" s="154">
        <f>'Memória de Cálculo'!E77</f>
        <v>3.3333333333333335E-5</v>
      </c>
      <c r="C75" s="15">
        <f>B75*C$33</f>
        <v>0.16865523675000002</v>
      </c>
      <c r="D75" s="15">
        <f t="shared" si="3"/>
        <v>0.17708814337499998</v>
      </c>
    </row>
    <row r="76" spans="1:6" s="1" customFormat="1" x14ac:dyDescent="0.25">
      <c r="A76" s="43" t="s">
        <v>95</v>
      </c>
      <c r="B76" s="45">
        <f>'Memória de Cálculo'!E78</f>
        <v>1.6666666666666666E-4</v>
      </c>
      <c r="C76" s="15">
        <f>B76*C$33</f>
        <v>0.84327618375000002</v>
      </c>
      <c r="D76" s="15">
        <f t="shared" si="3"/>
        <v>0.88544071687499992</v>
      </c>
    </row>
    <row r="77" spans="1:6" s="5" customFormat="1" x14ac:dyDescent="0.25">
      <c r="A77" s="44" t="s">
        <v>96</v>
      </c>
      <c r="B77" s="45">
        <f>'Memória de Cálculo'!E79</f>
        <v>1.9444444444444446E-4</v>
      </c>
      <c r="C77" s="46">
        <f t="shared" si="2"/>
        <v>0.98382221437500017</v>
      </c>
      <c r="D77" s="46">
        <f t="shared" si="3"/>
        <v>1.0330141696874999</v>
      </c>
    </row>
    <row r="78" spans="1:6" x14ac:dyDescent="0.25">
      <c r="A78" s="43" t="s">
        <v>104</v>
      </c>
      <c r="B78" s="45">
        <f>'Memória de Cálculo'!E80</f>
        <v>6.8638888888888902E-5</v>
      </c>
      <c r="C78" s="15">
        <f t="shared" si="2"/>
        <v>0.34728924167437508</v>
      </c>
      <c r="D78" s="15">
        <f t="shared" si="3"/>
        <v>0.36465400189968755</v>
      </c>
    </row>
    <row r="79" spans="1:6" x14ac:dyDescent="0.25">
      <c r="A79" s="43" t="s">
        <v>105</v>
      </c>
      <c r="B79" s="45">
        <f>'Memória de Cálculo'!E81</f>
        <v>3.9833333333333332E-2</v>
      </c>
      <c r="C79" s="15">
        <f t="shared" si="2"/>
        <v>201.54300791624999</v>
      </c>
      <c r="D79" s="15">
        <f t="shared" si="3"/>
        <v>211.62033133312497</v>
      </c>
      <c r="E79" s="67">
        <f>B79+B76</f>
        <v>0.04</v>
      </c>
      <c r="F79" s="4" t="s">
        <v>409</v>
      </c>
    </row>
    <row r="80" spans="1:6" x14ac:dyDescent="0.25">
      <c r="A80" s="81" t="s">
        <v>18</v>
      </c>
      <c r="B80" s="39">
        <f>SUM(B74:B79)</f>
        <v>4.071308333333333E-2</v>
      </c>
      <c r="C80" s="26">
        <f>SUM(C74:C79)</f>
        <v>205.99424125217436</v>
      </c>
      <c r="D80" s="26">
        <f>SUM(D74:D79)</f>
        <v>216.29413015714965</v>
      </c>
      <c r="E80" s="148">
        <f>B80</f>
        <v>4.071308333333333E-2</v>
      </c>
    </row>
    <row r="81" spans="1:7" ht="6" customHeight="1" x14ac:dyDescent="0.25">
      <c r="A81" s="27"/>
      <c r="B81" s="33"/>
      <c r="C81" s="28"/>
      <c r="D81" s="28"/>
    </row>
    <row r="82" spans="1:7" s="6" customFormat="1" x14ac:dyDescent="0.25">
      <c r="A82" s="17" t="s">
        <v>40</v>
      </c>
      <c r="B82" s="18"/>
      <c r="C82" s="19"/>
      <c r="D82" s="19"/>
    </row>
    <row r="83" spans="1:7" x14ac:dyDescent="0.25">
      <c r="A83" s="20" t="s">
        <v>107</v>
      </c>
      <c r="B83" s="32"/>
      <c r="C83" s="22" t="s">
        <v>30</v>
      </c>
      <c r="D83" s="22" t="s">
        <v>30</v>
      </c>
    </row>
    <row r="84" spans="1:7" x14ac:dyDescent="0.25">
      <c r="A84" s="13" t="s">
        <v>344</v>
      </c>
      <c r="B84" s="45">
        <v>9.9000000000000008E-3</v>
      </c>
      <c r="C84" s="15">
        <f t="shared" ref="C84:C88" si="4">B84*C$33</f>
        <v>50.090605314750007</v>
      </c>
      <c r="D84" s="15">
        <f>B84*D$33</f>
        <v>52.595178582374999</v>
      </c>
      <c r="E84" s="67">
        <f>B84+B39</f>
        <v>0.12100000000000001</v>
      </c>
      <c r="F84" s="4" t="s">
        <v>409</v>
      </c>
    </row>
    <row r="85" spans="1:7" x14ac:dyDescent="0.25">
      <c r="A85" s="13" t="s">
        <v>108</v>
      </c>
      <c r="B85" s="14">
        <f>'Memória de Cálculo'!E87</f>
        <v>1E-4</v>
      </c>
      <c r="C85" s="15">
        <f t="shared" si="4"/>
        <v>0.50596571025000003</v>
      </c>
      <c r="D85" s="15">
        <f>B85*D$33</f>
        <v>0.53126443012500002</v>
      </c>
    </row>
    <row r="86" spans="1:7" x14ac:dyDescent="0.25">
      <c r="A86" s="13" t="s">
        <v>109</v>
      </c>
      <c r="B86" s="14">
        <f>'Memória de Cálculo'!E88</f>
        <v>1E-4</v>
      </c>
      <c r="C86" s="15">
        <f t="shared" si="4"/>
        <v>0.50596571025000003</v>
      </c>
      <c r="D86" s="15">
        <f>B86*D$33</f>
        <v>0.53126443012500002</v>
      </c>
    </row>
    <row r="87" spans="1:7" x14ac:dyDescent="0.25">
      <c r="A87" s="13" t="s">
        <v>110</v>
      </c>
      <c r="B87" s="14">
        <f>'Memória de Cálculo'!E89</f>
        <v>2.0000000000000001E-4</v>
      </c>
      <c r="C87" s="15">
        <f t="shared" si="4"/>
        <v>1.0119314205000001</v>
      </c>
      <c r="D87" s="15">
        <f>B87*D$33</f>
        <v>1.06252886025</v>
      </c>
    </row>
    <row r="88" spans="1:7" x14ac:dyDescent="0.25">
      <c r="A88" s="13" t="s">
        <v>111</v>
      </c>
      <c r="B88" s="14">
        <f>'Memória de Cálculo'!E90</f>
        <v>1E-4</v>
      </c>
      <c r="C88" s="15">
        <f t="shared" si="4"/>
        <v>0.50596571025000003</v>
      </c>
      <c r="D88" s="15">
        <f>B88*D$33</f>
        <v>0.53126443012500002</v>
      </c>
    </row>
    <row r="89" spans="1:7" ht="15.75" customHeight="1" x14ac:dyDescent="0.25">
      <c r="A89" s="13" t="s">
        <v>431</v>
      </c>
      <c r="B89" s="14">
        <f>C89/C33</f>
        <v>0</v>
      </c>
      <c r="C89" s="15">
        <v>0</v>
      </c>
      <c r="D89" s="15">
        <v>0</v>
      </c>
      <c r="E89" s="52">
        <f>B57*2</f>
        <v>0</v>
      </c>
      <c r="F89" s="52">
        <f>C89+E89</f>
        <v>0</v>
      </c>
      <c r="G89" s="52">
        <f>F89/2</f>
        <v>0</v>
      </c>
    </row>
    <row r="90" spans="1:7" ht="15.75" customHeight="1" x14ac:dyDescent="0.25">
      <c r="A90" s="391"/>
      <c r="B90" s="392"/>
      <c r="C90" s="393"/>
      <c r="D90" s="207"/>
    </row>
    <row r="91" spans="1:7" ht="15" customHeight="1" x14ac:dyDescent="0.25">
      <c r="A91" s="47" t="s">
        <v>61</v>
      </c>
      <c r="B91" s="33">
        <f>SUM(B84:B89)</f>
        <v>1.04E-2</v>
      </c>
      <c r="C91" s="34">
        <f>SUM(C84:C89)</f>
        <v>52.620433866000013</v>
      </c>
      <c r="D91" s="34">
        <f>SUM(D84:D89)</f>
        <v>55.251500732999993</v>
      </c>
    </row>
    <row r="92" spans="1:7" x14ac:dyDescent="0.25">
      <c r="A92" s="13" t="s">
        <v>221</v>
      </c>
      <c r="B92" s="33">
        <f>'Memória de Cálculo'!E93</f>
        <v>3.6712000000000003E-3</v>
      </c>
      <c r="C92" s="34">
        <f>C33*B92</f>
        <v>18.575013154698002</v>
      </c>
      <c r="D92" s="34">
        <f>D33*B92</f>
        <v>19.503779758749001</v>
      </c>
      <c r="E92" s="67">
        <f>B84*B53</f>
        <v>3.4947000000000008E-3</v>
      </c>
    </row>
    <row r="93" spans="1:7" x14ac:dyDescent="0.25">
      <c r="A93" s="55" t="s">
        <v>0</v>
      </c>
      <c r="B93" s="68">
        <f>SUM(B91:B92)</f>
        <v>1.4071199999999999E-2</v>
      </c>
      <c r="C93" s="56">
        <f>SUM(C91:C92)</f>
        <v>71.195447020698012</v>
      </c>
      <c r="D93" s="56">
        <f>SUM(D91:D92)</f>
        <v>74.755280491748991</v>
      </c>
      <c r="E93" s="148"/>
      <c r="F93" s="67"/>
    </row>
    <row r="94" spans="1:7" x14ac:dyDescent="0.25">
      <c r="A94" s="20" t="s">
        <v>106</v>
      </c>
      <c r="B94" s="32"/>
      <c r="C94" s="22" t="s">
        <v>5</v>
      </c>
      <c r="D94" s="22" t="s">
        <v>5</v>
      </c>
      <c r="E94" s="67">
        <f>B93+E80+E70</f>
        <v>0.6708074833333334</v>
      </c>
    </row>
    <row r="95" spans="1:7" x14ac:dyDescent="0.25">
      <c r="A95" s="13" t="s">
        <v>414</v>
      </c>
      <c r="B95" s="14">
        <f>C95/C33</f>
        <v>0</v>
      </c>
      <c r="C95" s="48">
        <v>0</v>
      </c>
      <c r="D95" s="48">
        <v>0</v>
      </c>
      <c r="E95" s="52"/>
    </row>
    <row r="96" spans="1:7" ht="6" customHeight="1" x14ac:dyDescent="0.25">
      <c r="A96" s="27"/>
      <c r="B96" s="33"/>
      <c r="C96" s="28"/>
      <c r="D96" s="28"/>
    </row>
    <row r="97" spans="1:10" ht="15" customHeight="1" x14ac:dyDescent="0.25">
      <c r="A97" s="81" t="s">
        <v>41</v>
      </c>
      <c r="B97" s="39"/>
      <c r="C97" s="26">
        <f>SUM(C94:C95)</f>
        <v>0</v>
      </c>
      <c r="D97" s="26">
        <f>SUM(D94:D95)</f>
        <v>0</v>
      </c>
      <c r="E97" s="67"/>
    </row>
    <row r="98" spans="1:10" s="3" customFormat="1" ht="6" customHeight="1" x14ac:dyDescent="0.25">
      <c r="A98" s="371"/>
      <c r="B98" s="372"/>
      <c r="C98" s="373"/>
      <c r="D98" s="204"/>
      <c r="E98" s="62"/>
      <c r="F98" s="62"/>
      <c r="G98" s="62"/>
      <c r="H98" s="62"/>
      <c r="I98" s="62"/>
      <c r="J98" s="62"/>
    </row>
    <row r="99" spans="1:10" x14ac:dyDescent="0.25">
      <c r="A99" s="29" t="s">
        <v>112</v>
      </c>
      <c r="B99" s="30"/>
      <c r="C99" s="31"/>
      <c r="D99" s="31"/>
    </row>
    <row r="100" spans="1:10" x14ac:dyDescent="0.25">
      <c r="A100" s="82" t="s">
        <v>113</v>
      </c>
      <c r="B100" s="82"/>
      <c r="C100" s="22" t="s">
        <v>5</v>
      </c>
      <c r="D100" s="22" t="s">
        <v>5</v>
      </c>
    </row>
    <row r="101" spans="1:10" x14ac:dyDescent="0.25">
      <c r="A101" s="37" t="s">
        <v>114</v>
      </c>
      <c r="B101" s="38">
        <f>B91</f>
        <v>1.04E-2</v>
      </c>
      <c r="C101" s="15">
        <f>C93</f>
        <v>71.195447020698012</v>
      </c>
      <c r="D101" s="15">
        <f>D93</f>
        <v>74.755280491748991</v>
      </c>
    </row>
    <row r="102" spans="1:10" x14ac:dyDescent="0.25">
      <c r="A102" s="37" t="s">
        <v>417</v>
      </c>
      <c r="B102" s="38">
        <f>B95</f>
        <v>0</v>
      </c>
      <c r="C102" s="15">
        <f>C95</f>
        <v>0</v>
      </c>
      <c r="D102" s="15">
        <f>D95</f>
        <v>0</v>
      </c>
    </row>
    <row r="103" spans="1:10" x14ac:dyDescent="0.25">
      <c r="A103" s="81" t="s">
        <v>0</v>
      </c>
      <c r="B103" s="39">
        <f>SUM(B102:B102)</f>
        <v>0</v>
      </c>
      <c r="C103" s="26">
        <f>SUM(C101:C102)</f>
        <v>71.195447020698012</v>
      </c>
      <c r="D103" s="26">
        <f>SUM(D101:D102)</f>
        <v>74.755280491748991</v>
      </c>
    </row>
    <row r="104" spans="1:10" s="5" customFormat="1" ht="6" customHeight="1" x14ac:dyDescent="0.25">
      <c r="A104" s="40"/>
      <c r="B104" s="41"/>
      <c r="C104" s="42"/>
      <c r="D104" s="42"/>
    </row>
    <row r="105" spans="1:10" s="6" customFormat="1" x14ac:dyDescent="0.25">
      <c r="A105" s="17" t="s">
        <v>42</v>
      </c>
      <c r="B105" s="18"/>
      <c r="C105" s="19"/>
      <c r="D105" s="19"/>
    </row>
    <row r="106" spans="1:10" x14ac:dyDescent="0.25">
      <c r="A106" s="20" t="s">
        <v>43</v>
      </c>
      <c r="B106" s="21"/>
      <c r="C106" s="22" t="s">
        <v>5</v>
      </c>
      <c r="D106" s="22" t="s">
        <v>5</v>
      </c>
    </row>
    <row r="107" spans="1:10" x14ac:dyDescent="0.25">
      <c r="A107" s="13" t="s">
        <v>13</v>
      </c>
      <c r="B107" s="23"/>
      <c r="C107" s="15">
        <f>Uniformes!I12</f>
        <v>109.66666666666667</v>
      </c>
      <c r="D107" s="15">
        <f>Uniformes!I12</f>
        <v>109.66666666666667</v>
      </c>
    </row>
    <row r="108" spans="1:10" x14ac:dyDescent="0.25">
      <c r="A108" s="13" t="s">
        <v>336</v>
      </c>
      <c r="B108" s="23"/>
      <c r="C108" s="15">
        <f>'epi''s'!I15</f>
        <v>7.5</v>
      </c>
      <c r="D108" s="15">
        <f>'epi''s'!I15</f>
        <v>7.5</v>
      </c>
    </row>
    <row r="109" spans="1:10" x14ac:dyDescent="0.25">
      <c r="A109" s="13" t="s">
        <v>337</v>
      </c>
      <c r="B109" s="23"/>
      <c r="C109" s="15">
        <f>'Materiais 1ºs socorros'!F36</f>
        <v>20.435714285714287</v>
      </c>
      <c r="D109" s="15">
        <f>'Materiais 1ºs socorros'!F36</f>
        <v>20.435714285714287</v>
      </c>
    </row>
    <row r="110" spans="1:10" x14ac:dyDescent="0.25">
      <c r="A110" s="13" t="s">
        <v>338</v>
      </c>
      <c r="B110" s="23"/>
      <c r="C110" s="15">
        <f>'Materiais e Equipamentos'!F14+('Materiais e Equipamentos'!F22/2)+'Materiais e Equipamentos'!F29</f>
        <v>9.1571428571428566</v>
      </c>
      <c r="D110" s="213">
        <f>'Materiais e Equipamentos'!F14+('Materiais e Equipamentos'!F22/2)+'Materiais e Equipamentos'!F29</f>
        <v>9.1571428571428566</v>
      </c>
    </row>
    <row r="111" spans="1:10" x14ac:dyDescent="0.25">
      <c r="A111" s="13" t="s">
        <v>339</v>
      </c>
      <c r="B111" s="23"/>
      <c r="C111" s="15">
        <f>Ferramentas!F31</f>
        <v>2.9467499999999993</v>
      </c>
      <c r="D111" s="15">
        <f>Ferramentas!F31</f>
        <v>2.9467499999999993</v>
      </c>
    </row>
    <row r="112" spans="1:10" x14ac:dyDescent="0.25">
      <c r="A112" s="81" t="s">
        <v>14</v>
      </c>
      <c r="B112" s="39"/>
      <c r="C112" s="26">
        <f>SUM(C107:C111)</f>
        <v>149.70627380952382</v>
      </c>
      <c r="D112" s="26">
        <f>SUM(D107:D111)</f>
        <v>149.70627380952382</v>
      </c>
    </row>
    <row r="113" spans="1:10" s="3" customFormat="1" ht="6" customHeight="1" x14ac:dyDescent="0.25">
      <c r="A113" s="371"/>
      <c r="B113" s="372"/>
      <c r="C113" s="373"/>
      <c r="D113" s="204"/>
      <c r="E113" s="62"/>
      <c r="F113" s="62"/>
      <c r="G113" s="62"/>
      <c r="H113" s="62"/>
      <c r="I113" s="62"/>
      <c r="J113" s="62"/>
    </row>
    <row r="114" spans="1:10" x14ac:dyDescent="0.25">
      <c r="A114" s="17" t="s">
        <v>44</v>
      </c>
      <c r="B114" s="18"/>
      <c r="C114" s="19"/>
      <c r="D114" s="19"/>
    </row>
    <row r="115" spans="1:10" x14ac:dyDescent="0.25">
      <c r="A115" s="20" t="s">
        <v>45</v>
      </c>
      <c r="B115" s="21"/>
      <c r="C115" s="49" t="s">
        <v>5</v>
      </c>
      <c r="D115" s="49" t="s">
        <v>5</v>
      </c>
    </row>
    <row r="116" spans="1:10" x14ac:dyDescent="0.25">
      <c r="A116" s="13" t="s">
        <v>19</v>
      </c>
      <c r="B116" s="14">
        <v>9.1865000000000002E-3</v>
      </c>
      <c r="C116" s="15">
        <f>C132*B116</f>
        <v>86.294850459137166</v>
      </c>
      <c r="D116" s="15">
        <f>D132*B116</f>
        <v>90.495404269624686</v>
      </c>
      <c r="E116" s="52">
        <f ca="1">Proposta!I29</f>
        <v>3674272.1453683339</v>
      </c>
      <c r="F116" s="83"/>
    </row>
    <row r="117" spans="1:10" x14ac:dyDescent="0.25">
      <c r="A117" s="13" t="s">
        <v>20</v>
      </c>
      <c r="B117" s="14">
        <v>8.9999999999999993E-3</v>
      </c>
      <c r="C117" s="15">
        <f>(C132+C116)*B117</f>
        <v>85.319586668036806</v>
      </c>
      <c r="D117" s="15">
        <f>(D132+D116)*B117</f>
        <v>89.47266779606251</v>
      </c>
      <c r="E117" s="83">
        <f>Proposta!K29</f>
        <v>3517522.22</v>
      </c>
      <c r="F117" s="83"/>
    </row>
    <row r="118" spans="1:10" x14ac:dyDescent="0.25">
      <c r="A118" s="13" t="s">
        <v>21</v>
      </c>
      <c r="B118" s="14">
        <f>SUM(B119:B121)</f>
        <v>8.6499999999999994E-2</v>
      </c>
      <c r="C118" s="15">
        <f ca="1">C134*B118</f>
        <v>905.74293559645457</v>
      </c>
      <c r="D118" s="15">
        <f ca="1">D134*B118</f>
        <v>949.83156799107724</v>
      </c>
      <c r="F118" s="83"/>
    </row>
    <row r="119" spans="1:10" x14ac:dyDescent="0.25">
      <c r="A119" s="13" t="s">
        <v>89</v>
      </c>
      <c r="B119" s="69">
        <v>3.6499999999999998E-2</v>
      </c>
      <c r="C119" s="70">
        <f ca="1">C134*B119</f>
        <v>382.19210577191433</v>
      </c>
      <c r="D119" s="70">
        <f ca="1">D134*B119</f>
        <v>400.79597955692856</v>
      </c>
    </row>
    <row r="120" spans="1:10" x14ac:dyDescent="0.25">
      <c r="A120" s="13" t="s">
        <v>22</v>
      </c>
      <c r="B120" s="69">
        <v>0</v>
      </c>
      <c r="C120" s="70"/>
      <c r="D120" s="70"/>
      <c r="F120" s="83"/>
    </row>
    <row r="121" spans="1:10" x14ac:dyDescent="0.25">
      <c r="A121" s="13" t="s">
        <v>23</v>
      </c>
      <c r="B121" s="69">
        <v>0.05</v>
      </c>
      <c r="C121" s="70">
        <f ca="1">C134*B121</f>
        <v>523.5508298245403</v>
      </c>
      <c r="D121" s="70">
        <f ca="1">D134*B121</f>
        <v>549.03558843414874</v>
      </c>
      <c r="F121" s="83"/>
    </row>
    <row r="122" spans="1:10" x14ac:dyDescent="0.25">
      <c r="A122" s="13" t="s">
        <v>24</v>
      </c>
      <c r="B122" s="23"/>
      <c r="C122" s="15"/>
      <c r="D122" s="15"/>
    </row>
    <row r="123" spans="1:10" x14ac:dyDescent="0.25">
      <c r="A123" s="81" t="s">
        <v>25</v>
      </c>
      <c r="B123" s="39"/>
      <c r="C123" s="26">
        <f ca="1">SUM(C116:C118)</f>
        <v>1077.3573727236285</v>
      </c>
      <c r="D123" s="26">
        <f ca="1">SUM(D116:D118)</f>
        <v>1129.7996400567645</v>
      </c>
      <c r="F123" s="83"/>
    </row>
    <row r="124" spans="1:10" s="3" customFormat="1" ht="6" customHeight="1" x14ac:dyDescent="0.25">
      <c r="A124" s="371"/>
      <c r="B124" s="372"/>
      <c r="C124" s="373"/>
      <c r="D124" s="204"/>
      <c r="E124" s="62"/>
      <c r="F124" s="62"/>
      <c r="G124" s="62"/>
      <c r="H124" s="62"/>
      <c r="I124" s="62"/>
      <c r="J124" s="62"/>
    </row>
    <row r="125" spans="1:10" x14ac:dyDescent="0.25">
      <c r="A125" s="375" t="s">
        <v>26</v>
      </c>
      <c r="B125" s="375"/>
      <c r="C125" s="375"/>
      <c r="D125" s="208"/>
    </row>
    <row r="126" spans="1:10" x14ac:dyDescent="0.25">
      <c r="A126" s="376" t="s">
        <v>27</v>
      </c>
      <c r="B126" s="376"/>
      <c r="C126" s="22" t="s">
        <v>5</v>
      </c>
      <c r="D126" s="22" t="s">
        <v>5</v>
      </c>
    </row>
    <row r="127" spans="1:10" x14ac:dyDescent="0.25">
      <c r="A127" s="377" t="s">
        <v>28</v>
      </c>
      <c r="B127" s="377"/>
      <c r="C127" s="28">
        <f>C33</f>
        <v>5059.6571025000003</v>
      </c>
      <c r="D127" s="28">
        <f>D33</f>
        <v>5312.6443012499994</v>
      </c>
    </row>
    <row r="128" spans="1:10" x14ac:dyDescent="0.25">
      <c r="A128" s="377" t="s">
        <v>46</v>
      </c>
      <c r="B128" s="377"/>
      <c r="C128" s="28">
        <f>C70</f>
        <v>3907.1061591847783</v>
      </c>
      <c r="D128" s="28">
        <f>D70</f>
        <v>4097.5121429177889</v>
      </c>
    </row>
    <row r="129" spans="1:6" x14ac:dyDescent="0.25">
      <c r="A129" s="377" t="s">
        <v>47</v>
      </c>
      <c r="B129" s="377"/>
      <c r="C129" s="28">
        <f>C80</f>
        <v>205.99424125217436</v>
      </c>
      <c r="D129" s="28">
        <f>D80</f>
        <v>216.29413015714965</v>
      </c>
    </row>
    <row r="130" spans="1:6" x14ac:dyDescent="0.25">
      <c r="A130" s="377" t="s">
        <v>48</v>
      </c>
      <c r="B130" s="377"/>
      <c r="C130" s="28">
        <f>C103</f>
        <v>71.195447020698012</v>
      </c>
      <c r="D130" s="28">
        <f>D103</f>
        <v>74.755280491748991</v>
      </c>
    </row>
    <row r="131" spans="1:6" x14ac:dyDescent="0.25">
      <c r="A131" s="377" t="s">
        <v>49</v>
      </c>
      <c r="B131" s="377"/>
      <c r="C131" s="28">
        <f>C112</f>
        <v>149.70627380952382</v>
      </c>
      <c r="D131" s="28">
        <f>D112</f>
        <v>149.70627380952382</v>
      </c>
    </row>
    <row r="132" spans="1:6" x14ac:dyDescent="0.25">
      <c r="A132" s="378" t="s">
        <v>51</v>
      </c>
      <c r="B132" s="378"/>
      <c r="C132" s="28">
        <f>SUM(C127:C131)</f>
        <v>9393.6592237671757</v>
      </c>
      <c r="D132" s="28">
        <f>SUM(D127:D131)</f>
        <v>9850.9121286262107</v>
      </c>
    </row>
    <row r="133" spans="1:6" x14ac:dyDescent="0.25">
      <c r="A133" s="377" t="s">
        <v>50</v>
      </c>
      <c r="B133" s="377"/>
      <c r="C133" s="28">
        <f ca="1">C123</f>
        <v>1077.3573727236285</v>
      </c>
      <c r="D133" s="28">
        <f ca="1">D123</f>
        <v>1129.7996400567645</v>
      </c>
    </row>
    <row r="134" spans="1:6" ht="15.75" customHeight="1" x14ac:dyDescent="0.25">
      <c r="A134" s="374" t="s">
        <v>29</v>
      </c>
      <c r="B134" s="374"/>
      <c r="C134" s="26">
        <f ca="1">SUM(C132:C133)</f>
        <v>10471.016596490805</v>
      </c>
      <c r="D134" s="26">
        <f ca="1">SUM(D132:D133)</f>
        <v>10980.711768682975</v>
      </c>
      <c r="E134" s="52">
        <f ca="1">(C127+C128+C129+C130+C131+C133)/C127</f>
        <v>2.069511111991567</v>
      </c>
    </row>
    <row r="135" spans="1:6" ht="6" customHeight="1" x14ac:dyDescent="0.25">
      <c r="A135" s="379"/>
      <c r="B135" s="380"/>
      <c r="C135" s="381"/>
      <c r="D135" s="209"/>
    </row>
    <row r="136" spans="1:6" ht="15.75" customHeight="1" x14ac:dyDescent="0.25">
      <c r="A136" s="374" t="s">
        <v>62</v>
      </c>
      <c r="B136" s="374"/>
      <c r="C136" s="26">
        <f ca="1">C134*2</f>
        <v>20942.033192981609</v>
      </c>
      <c r="D136" s="26">
        <f ca="1">D134*2</f>
        <v>21961.42353736595</v>
      </c>
      <c r="F136" s="52"/>
    </row>
    <row r="137" spans="1:6" x14ac:dyDescent="0.25">
      <c r="B137" s="4"/>
      <c r="C137" s="4"/>
      <c r="D137" s="4"/>
    </row>
    <row r="138" spans="1:6" ht="23.25" customHeight="1" x14ac:dyDescent="0.25">
      <c r="A138" s="367" t="s">
        <v>425</v>
      </c>
      <c r="B138" s="368"/>
      <c r="C138" s="369"/>
      <c r="D138" s="211"/>
    </row>
    <row r="139" spans="1:6" ht="16.5" customHeight="1" x14ac:dyDescent="0.25">
      <c r="A139" s="17" t="s">
        <v>3</v>
      </c>
      <c r="B139" s="18"/>
      <c r="C139" s="19"/>
      <c r="D139" s="19"/>
    </row>
    <row r="140" spans="1:6" ht="15" customHeight="1" x14ac:dyDescent="0.25">
      <c r="A140" s="20" t="s">
        <v>4</v>
      </c>
      <c r="B140" s="21"/>
      <c r="C140" s="22" t="s">
        <v>5</v>
      </c>
      <c r="D140" s="22" t="s">
        <v>5</v>
      </c>
    </row>
    <row r="141" spans="1:6" ht="14.25" customHeight="1" x14ac:dyDescent="0.25">
      <c r="A141" s="13" t="s">
        <v>6</v>
      </c>
      <c r="B141" s="15">
        <v>386.96</v>
      </c>
      <c r="C141" s="15">
        <f>B141*2</f>
        <v>773.92</v>
      </c>
      <c r="D141" s="15">
        <f>B141*2</f>
        <v>773.92</v>
      </c>
    </row>
    <row r="142" spans="1:6" ht="14.25" customHeight="1" x14ac:dyDescent="0.25">
      <c r="A142" s="13" t="s">
        <v>426</v>
      </c>
      <c r="B142" s="15"/>
      <c r="C142" s="15">
        <f>C141/180*B30*7*2</f>
        <v>13.5436</v>
      </c>
      <c r="D142" s="15">
        <f>D141/180*B30*7*2</f>
        <v>13.5436</v>
      </c>
    </row>
    <row r="143" spans="1:6" ht="15" customHeight="1" x14ac:dyDescent="0.25">
      <c r="A143" s="20" t="s">
        <v>423</v>
      </c>
      <c r="B143" s="21"/>
      <c r="C143" s="22">
        <f>SUM(C141:C142)</f>
        <v>787.46359999999993</v>
      </c>
      <c r="D143" s="22">
        <f>SUM(D141:D142)</f>
        <v>787.46359999999993</v>
      </c>
    </row>
    <row r="144" spans="1:6" x14ac:dyDescent="0.25">
      <c r="A144" s="13" t="s">
        <v>31</v>
      </c>
      <c r="B144" s="23">
        <v>5.5</v>
      </c>
      <c r="C144" s="15">
        <v>0</v>
      </c>
      <c r="D144" s="15">
        <v>0</v>
      </c>
      <c r="E144" s="151"/>
      <c r="F144" s="52"/>
    </row>
    <row r="145" spans="1:5" x14ac:dyDescent="0.25">
      <c r="A145" s="13" t="s">
        <v>97</v>
      </c>
      <c r="B145" s="23"/>
      <c r="C145" s="46">
        <f>43.62*2</f>
        <v>87.24</v>
      </c>
      <c r="D145" s="46">
        <f>45.23*2</f>
        <v>90.46</v>
      </c>
    </row>
    <row r="146" spans="1:5" x14ac:dyDescent="0.25">
      <c r="A146" s="13" t="s">
        <v>118</v>
      </c>
      <c r="B146" s="23"/>
      <c r="C146" s="15">
        <f>0.3*-2</f>
        <v>-0.6</v>
      </c>
      <c r="D146" s="15">
        <f>0.6*-2</f>
        <v>-1.2</v>
      </c>
      <c r="E146" s="52"/>
    </row>
    <row r="147" spans="1:5" ht="15" customHeight="1" x14ac:dyDescent="0.25">
      <c r="A147" s="20" t="s">
        <v>423</v>
      </c>
      <c r="B147" s="21"/>
      <c r="C147" s="22">
        <f>SUM(C144:C146)</f>
        <v>86.64</v>
      </c>
      <c r="D147" s="22">
        <f>SUM(D144:D146)</f>
        <v>89.259999999999991</v>
      </c>
    </row>
    <row r="148" spans="1:5" ht="15" customHeight="1" x14ac:dyDescent="0.25">
      <c r="A148" s="20" t="s">
        <v>424</v>
      </c>
      <c r="B148" s="21"/>
      <c r="C148" s="22">
        <f>C147+C143</f>
        <v>874.10359999999991</v>
      </c>
      <c r="D148" s="22">
        <f>D147+D143</f>
        <v>876.72359999999992</v>
      </c>
    </row>
    <row r="149" spans="1:5" x14ac:dyDescent="0.25">
      <c r="B149" s="4"/>
      <c r="C149" s="4"/>
      <c r="D149" s="4"/>
    </row>
    <row r="150" spans="1:5" x14ac:dyDescent="0.25">
      <c r="B150" s="4"/>
      <c r="C150" s="4"/>
      <c r="D150" s="4"/>
    </row>
    <row r="151" spans="1:5" x14ac:dyDescent="0.25">
      <c r="B151" s="4"/>
      <c r="C151" s="4"/>
      <c r="D151" s="4"/>
    </row>
    <row r="152" spans="1:5" x14ac:dyDescent="0.25">
      <c r="B152" s="4"/>
      <c r="C152" s="4"/>
      <c r="D152" s="4"/>
    </row>
    <row r="153" spans="1:5" x14ac:dyDescent="0.25">
      <c r="B153" s="4"/>
      <c r="C153" s="4"/>
      <c r="D153" s="4"/>
    </row>
    <row r="154" spans="1:5" x14ac:dyDescent="0.25">
      <c r="B154" s="4"/>
      <c r="C154" s="4"/>
      <c r="D154" s="4"/>
    </row>
    <row r="155" spans="1:5" x14ac:dyDescent="0.25">
      <c r="B155" s="4"/>
      <c r="C155" s="4"/>
      <c r="D155" s="4"/>
    </row>
    <row r="156" spans="1:5" x14ac:dyDescent="0.25">
      <c r="B156" s="4"/>
      <c r="C156" s="4"/>
      <c r="D156" s="4"/>
    </row>
    <row r="157" spans="1:5" x14ac:dyDescent="0.25">
      <c r="A157" s="7"/>
      <c r="B157" s="4"/>
      <c r="C157" s="4"/>
      <c r="D157" s="4"/>
    </row>
    <row r="158" spans="1:5" x14ac:dyDescent="0.25">
      <c r="B158" s="4"/>
      <c r="C158" s="4"/>
      <c r="D158" s="4"/>
    </row>
    <row r="159" spans="1:5" x14ac:dyDescent="0.25">
      <c r="B159" s="4"/>
      <c r="C159" s="4"/>
      <c r="D159" s="4"/>
    </row>
    <row r="160" spans="1:5" x14ac:dyDescent="0.25">
      <c r="B160" s="4"/>
      <c r="C160" s="4"/>
      <c r="D160" s="4"/>
    </row>
    <row r="161" s="4" customFormat="1" x14ac:dyDescent="0.25"/>
    <row r="162" s="4" customFormat="1" x14ac:dyDescent="0.25"/>
    <row r="163" s="4" customFormat="1" x14ac:dyDescent="0.25"/>
    <row r="164" s="4" customFormat="1" x14ac:dyDescent="0.25"/>
    <row r="165" s="4" customFormat="1" x14ac:dyDescent="0.25"/>
    <row r="166" s="4" customFormat="1" x14ac:dyDescent="0.25"/>
    <row r="167" s="4" customFormat="1" x14ac:dyDescent="0.25"/>
    <row r="168" s="4" customFormat="1" x14ac:dyDescent="0.25"/>
    <row r="169" s="4" customFormat="1" x14ac:dyDescent="0.25"/>
    <row r="170" s="4" customFormat="1" x14ac:dyDescent="0.25"/>
    <row r="171" s="4" customFormat="1" x14ac:dyDescent="0.25"/>
    <row r="172" s="4" customFormat="1" x14ac:dyDescent="0.25"/>
    <row r="173" s="4" customFormat="1" x14ac:dyDescent="0.25"/>
    <row r="174" s="4" customFormat="1" x14ac:dyDescent="0.25"/>
    <row r="175" s="4" customFormat="1" x14ac:dyDescent="0.25"/>
    <row r="176" s="4" customFormat="1" x14ac:dyDescent="0.25"/>
    <row r="177" s="4" customFormat="1" x14ac:dyDescent="0.25"/>
    <row r="178" s="4" customFormat="1" x14ac:dyDescent="0.25"/>
    <row r="179" s="4" customFormat="1" x14ac:dyDescent="0.25"/>
    <row r="180" s="4" customFormat="1" x14ac:dyDescent="0.25"/>
    <row r="181" s="4" customFormat="1" x14ac:dyDescent="0.25"/>
    <row r="182" s="4" customFormat="1" x14ac:dyDescent="0.25"/>
    <row r="183" s="4" customFormat="1" x14ac:dyDescent="0.25"/>
    <row r="184" s="4" customFormat="1" x14ac:dyDescent="0.25"/>
    <row r="185" s="4" customFormat="1" x14ac:dyDescent="0.25"/>
    <row r="186" s="4" customFormat="1" x14ac:dyDescent="0.25"/>
    <row r="187" s="4" customFormat="1" x14ac:dyDescent="0.25"/>
    <row r="188" s="4" customFormat="1" x14ac:dyDescent="0.25"/>
    <row r="189" s="4" customFormat="1" x14ac:dyDescent="0.25"/>
    <row r="190" s="4" customFormat="1" x14ac:dyDescent="0.25"/>
    <row r="191" s="4" customFormat="1" x14ac:dyDescent="0.25"/>
    <row r="192" s="4" customFormat="1" x14ac:dyDescent="0.25"/>
    <row r="193" s="4" customFormat="1" x14ac:dyDescent="0.25"/>
    <row r="194" s="4" customFormat="1" x14ac:dyDescent="0.25"/>
    <row r="195" s="4" customFormat="1" x14ac:dyDescent="0.25"/>
    <row r="196" s="4" customFormat="1" x14ac:dyDescent="0.25"/>
    <row r="197" s="4" customFormat="1" x14ac:dyDescent="0.25"/>
    <row r="198" s="4" customFormat="1" x14ac:dyDescent="0.25"/>
    <row r="199" s="4" customFormat="1" x14ac:dyDescent="0.25"/>
    <row r="200" s="4" customFormat="1" x14ac:dyDescent="0.25"/>
    <row r="201" s="4" customFormat="1" x14ac:dyDescent="0.25"/>
    <row r="202" s="4" customFormat="1" x14ac:dyDescent="0.25"/>
    <row r="203" s="4" customFormat="1" x14ac:dyDescent="0.25"/>
    <row r="204" s="4" customFormat="1" x14ac:dyDescent="0.25"/>
    <row r="205" s="4" customFormat="1" x14ac:dyDescent="0.25"/>
    <row r="206" s="4" customFormat="1" x14ac:dyDescent="0.25"/>
    <row r="207" s="4" customFormat="1" x14ac:dyDescent="0.25"/>
    <row r="208" s="4" customFormat="1" x14ac:dyDescent="0.25"/>
    <row r="209" s="4" customFormat="1" x14ac:dyDescent="0.25"/>
    <row r="210" s="4" customFormat="1" x14ac:dyDescent="0.25"/>
    <row r="211" s="4" customFormat="1" x14ac:dyDescent="0.25"/>
    <row r="212" s="4" customFormat="1" x14ac:dyDescent="0.25"/>
    <row r="213" s="4" customFormat="1" x14ac:dyDescent="0.25"/>
    <row r="214" s="4" customFormat="1" x14ac:dyDescent="0.25"/>
    <row r="215" s="4" customFormat="1" x14ac:dyDescent="0.25"/>
    <row r="216" s="4" customFormat="1" x14ac:dyDescent="0.25"/>
    <row r="217" s="4" customFormat="1" x14ac:dyDescent="0.25"/>
    <row r="218" s="4" customFormat="1" x14ac:dyDescent="0.25"/>
    <row r="219" s="4" customFormat="1" x14ac:dyDescent="0.25"/>
    <row r="220" s="4" customFormat="1" x14ac:dyDescent="0.25"/>
    <row r="221" s="4" customFormat="1" x14ac:dyDescent="0.25"/>
    <row r="222" s="4" customFormat="1" x14ac:dyDescent="0.25"/>
    <row r="223" s="4" customFormat="1" x14ac:dyDescent="0.25"/>
    <row r="224" s="4" customFormat="1" x14ac:dyDescent="0.25"/>
    <row r="225" s="4" customFormat="1" x14ac:dyDescent="0.25"/>
    <row r="226" s="4" customFormat="1" x14ac:dyDescent="0.25"/>
    <row r="227" s="4" customFormat="1" x14ac:dyDescent="0.25"/>
    <row r="228" s="4" customFormat="1" x14ac:dyDescent="0.25"/>
    <row r="229" s="4" customFormat="1" x14ac:dyDescent="0.25"/>
    <row r="230" s="4" customFormat="1" x14ac:dyDescent="0.25"/>
    <row r="231" s="4" customFormat="1" x14ac:dyDescent="0.25"/>
    <row r="232" s="4" customFormat="1" x14ac:dyDescent="0.25"/>
    <row r="233" s="4" customFormat="1" x14ac:dyDescent="0.25"/>
    <row r="234" s="4" customFormat="1" x14ac:dyDescent="0.25"/>
    <row r="235" s="4" customFormat="1" x14ac:dyDescent="0.25"/>
    <row r="236" s="4" customFormat="1" x14ac:dyDescent="0.25"/>
    <row r="237" s="4" customFormat="1" x14ac:dyDescent="0.25"/>
    <row r="238" s="4" customFormat="1" x14ac:dyDescent="0.25"/>
    <row r="239" s="4" customFormat="1" x14ac:dyDescent="0.25"/>
  </sheetData>
  <mergeCells count="41">
    <mergeCell ref="A17:C17"/>
    <mergeCell ref="A1:C1"/>
    <mergeCell ref="A2:C2"/>
    <mergeCell ref="A5:C5"/>
    <mergeCell ref="A6:C6"/>
    <mergeCell ref="B7:C7"/>
    <mergeCell ref="B8:C8"/>
    <mergeCell ref="B9:C9"/>
    <mergeCell ref="B10:C10"/>
    <mergeCell ref="A14:B14"/>
    <mergeCell ref="A15:C15"/>
    <mergeCell ref="A16:C16"/>
    <mergeCell ref="A64:C64"/>
    <mergeCell ref="A18:C18"/>
    <mergeCell ref="B19:C19"/>
    <mergeCell ref="B20:C20"/>
    <mergeCell ref="B21:C21"/>
    <mergeCell ref="B22:C22"/>
    <mergeCell ref="B23:C23"/>
    <mergeCell ref="A24:C24"/>
    <mergeCell ref="A34:C34"/>
    <mergeCell ref="A43:C43"/>
    <mergeCell ref="A44:C44"/>
    <mergeCell ref="A54:C54"/>
    <mergeCell ref="A132:B132"/>
    <mergeCell ref="A90:C90"/>
    <mergeCell ref="A98:C98"/>
    <mergeCell ref="A113:C113"/>
    <mergeCell ref="A124:C124"/>
    <mergeCell ref="A125:C125"/>
    <mergeCell ref="A126:B126"/>
    <mergeCell ref="A127:B127"/>
    <mergeCell ref="A128:B128"/>
    <mergeCell ref="A129:B129"/>
    <mergeCell ref="A130:B130"/>
    <mergeCell ref="A131:B131"/>
    <mergeCell ref="A133:B133"/>
    <mergeCell ref="A134:B134"/>
    <mergeCell ref="A135:C135"/>
    <mergeCell ref="A136:B136"/>
    <mergeCell ref="A138:C138"/>
  </mergeCells>
  <pageMargins left="0.511811024" right="0.511811024" top="0.78740157499999996" bottom="0.78740157499999996" header="0.31496062000000002" footer="0.31496062000000002"/>
  <pageSetup paperSize="9" scale="59" orientation="portrait" r:id="rId1"/>
  <rowBreaks count="1" manualBreakCount="1">
    <brk id="71" max="3" man="1"/>
  </rowBreaks>
  <colBreaks count="1" manualBreakCount="1">
    <brk id="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14</vt:i4>
      </vt:variant>
      <vt:variant>
        <vt:lpstr>Intervalos Nomeados</vt:lpstr>
      </vt:variant>
      <vt:variant>
        <vt:i4>11</vt:i4>
      </vt:variant>
    </vt:vector>
  </HeadingPairs>
  <TitlesOfParts>
    <vt:vector size="25" baseType="lpstr">
      <vt:lpstr>Fatura</vt:lpstr>
      <vt:lpstr>Implantação</vt:lpstr>
      <vt:lpstr>Proposta</vt:lpstr>
      <vt:lpstr>Fatura877,32</vt:lpstr>
      <vt:lpstr>Resumo</vt:lpstr>
      <vt:lpstr>Diferença</vt:lpstr>
      <vt:lpstr>Memória de Cálculo</vt:lpstr>
      <vt:lpstr>Diurno</vt:lpstr>
      <vt:lpstr>Noturno</vt:lpstr>
      <vt:lpstr>Uniformes</vt:lpstr>
      <vt:lpstr>epi's</vt:lpstr>
      <vt:lpstr>Materiais 1ºs socorros</vt:lpstr>
      <vt:lpstr>Materiais e Equipamentos</vt:lpstr>
      <vt:lpstr>Ferramentas</vt:lpstr>
      <vt:lpstr>Diurno!Area_de_impressao</vt:lpstr>
      <vt:lpstr>'epi''s'!Area_de_impressao</vt:lpstr>
      <vt:lpstr>Fatura!Area_de_impressao</vt:lpstr>
      <vt:lpstr>'Fatura877,32'!Area_de_impressao</vt:lpstr>
      <vt:lpstr>Implantação!Area_de_impressao</vt:lpstr>
      <vt:lpstr>'Materiais e Equipamentos'!Area_de_impressao</vt:lpstr>
      <vt:lpstr>'Memória de Cálculo'!Area_de_impressao</vt:lpstr>
      <vt:lpstr>Noturno!Area_de_impressao</vt:lpstr>
      <vt:lpstr>Proposta!Area_de_impressao</vt:lpstr>
      <vt:lpstr>Resumo!Area_de_impressao</vt:lpstr>
      <vt:lpstr>Uniformes!Area_de_impressao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Comercial</dc:creator>
  <cp:lastModifiedBy>Luciene Cruz</cp:lastModifiedBy>
  <cp:lastPrinted>2023-11-20T17:44:33Z</cp:lastPrinted>
  <dcterms:created xsi:type="dcterms:W3CDTF">2017-06-20T16:28:45Z</dcterms:created>
  <dcterms:modified xsi:type="dcterms:W3CDTF">2024-05-31T18:20:35Z</dcterms:modified>
</cp:coreProperties>
</file>